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I:\PnR\Working Folders\Tracey\Website\"/>
    </mc:Choice>
  </mc:AlternateContent>
  <xr:revisionPtr revIDLastSave="0" documentId="8_{5C7B30A9-D898-4BAE-AF9B-01E3AD9FB073}" xr6:coauthVersionLast="47" xr6:coauthVersionMax="47" xr10:uidLastSave="{00000000-0000-0000-0000-000000000000}"/>
  <workbookProtection workbookAlgorithmName="SHA-512" workbookHashValue="QiKf9gLNunn/MLD5aEPllxLIaC4dfvkgVbXcfMo7P2Ij2k4wVSc0DCg4F+3cgVbLyxVYGwMltnt8RUwwO19p6g==" workbookSaltValue="sj+C1m4kweca7tCxxiWrmQ==" workbookSpinCount="100000" lockStructure="1"/>
  <bookViews>
    <workbookView xWindow="-108" yWindow="-108" windowWidth="23256" windowHeight="12576" tabRatio="890" xr2:uid="{00000000-000D-0000-FFFF-FFFF00000000}"/>
  </bookViews>
  <sheets>
    <sheet name="Pre-app Cover" sheetId="58" r:id="rId1"/>
    <sheet name="Cover" sheetId="106" state="hidden" r:id="rId2"/>
    <sheet name="Fee Schedule" sheetId="108" r:id="rId3"/>
    <sheet name="Certification" sheetId="109" state="hidden" r:id="rId4"/>
    <sheet name="Scoring Criteria Calculations" sheetId="97" state="hidden" r:id="rId5"/>
    <sheet name="Applicant Information" sheetId="3" r:id="rId6"/>
    <sheet name="Conflict of Interest" sheetId="98" state="hidden" r:id="rId7"/>
    <sheet name="Tax Credit Compliance" sheetId="99" state="hidden" r:id="rId8"/>
    <sheet name="Project Information" sheetId="4" r:id="rId9"/>
    <sheet name="Additional Prj Information" sheetId="100" r:id="rId10"/>
    <sheet name="Building Summary" sheetId="91" r:id="rId11"/>
    <sheet name="Current Rent Roll" sheetId="113" state="hidden" r:id="rId12"/>
    <sheet name="Proposed Rent Roll" sheetId="103" state="hidden" r:id="rId13"/>
    <sheet name="Project Income &amp; UA" sheetId="118" r:id="rId14"/>
    <sheet name="Operating Budget" sheetId="57" r:id="rId15"/>
    <sheet name="Additional Op Ex Information" sheetId="71" r:id="rId16"/>
    <sheet name="Construction Costs" sheetId="88" r:id="rId17"/>
    <sheet name="Project Costs &amp; Basis" sheetId="41" r:id="rId18"/>
    <sheet name="Additional Prj Cost Information" sheetId="42" r:id="rId19"/>
    <sheet name="TDC per Unit" sheetId="107" r:id="rId20"/>
    <sheet name="Tax Credit Calculations" sheetId="89" r:id="rId21"/>
    <sheet name="Sources" sheetId="44" r:id="rId22"/>
    <sheet name="NPV-PV calculations" sheetId="114" state="hidden" r:id="rId23"/>
    <sheet name="Project Completion Sch" sheetId="104" state="hidden" r:id="rId24"/>
    <sheet name="MH Underwriting" sheetId="72" r:id="rId25"/>
    <sheet name="TxCr" sheetId="115" state="hidden" r:id="rId26"/>
    <sheet name="Tax Credit Calc" sheetId="73" state="hidden" r:id="rId27"/>
    <sheet name="Fed Home &amp; Match" sheetId="74" state="hidden" r:id="rId28"/>
    <sheet name="Amortization Schedules" sheetId="79" state="hidden" r:id="rId29"/>
    <sheet name="Sheet1" sheetId="121" r:id="rId30"/>
    <sheet name="Mapping" sheetId="119" state="hidden" r:id="rId31"/>
    <sheet name="SD_Dropdowns" sheetId="120" state="hidden" r:id="rId32"/>
    <sheet name="FedHOME &amp; HTF Cost Allocation" sheetId="122" state="hidden" r:id="rId33"/>
  </sheets>
  <externalReferences>
    <externalReference r:id="rId34"/>
    <externalReference r:id="rId35"/>
  </externalReferences>
  <definedNames>
    <definedName name="_xlnm._FilterDatabase" localSheetId="30" hidden="1">Mapping!$B$304:$C$353</definedName>
    <definedName name="building">[1]Sheet2!$A$22:$A$28</definedName>
    <definedName name="constructiontype">[1]Sheet2!$A$6:$A$10</definedName>
    <definedName name="energy">[1]Sheet2!$A$32:$A$42</definedName>
    <definedName name="framing">[1]Sheet2!$A$14:$A$19</definedName>
    <definedName name="No" localSheetId="3">'TDC per Unit'!$K$8:$K$10</definedName>
    <definedName name="No" localSheetId="2">'TDC per Unit'!$K$8:$K$10</definedName>
    <definedName name="No" localSheetId="22">'[2]TDC per Unit'!$K$8:$K$10</definedName>
    <definedName name="parking">[1]Sheet2!$F$30:$F$35</definedName>
    <definedName name="_xlnm.Print_Area" localSheetId="15">'Additional Op Ex Information'!$A$1:$M$76</definedName>
    <definedName name="_xlnm.Print_Area" localSheetId="18">'Additional Prj Cost Information'!$A$1:$K$88</definedName>
    <definedName name="_xlnm.Print_Area" localSheetId="9">'Additional Prj Information'!$A$1:$K$18</definedName>
    <definedName name="_xlnm.Print_Area" localSheetId="28">'Amortization Schedules'!$A$1:$X$373</definedName>
    <definedName name="_xlnm.Print_Area" localSheetId="5">'Applicant Information'!$A$1:$N$66</definedName>
    <definedName name="_xlnm.Print_Area" localSheetId="10">'Building Summary'!$A$1:$J$37</definedName>
    <definedName name="_xlnm.Print_Area" localSheetId="3">Certification!$A$1:$M$49</definedName>
    <definedName name="_xlnm.Print_Area" localSheetId="6">'Conflict of Interest'!$A$1:$M$99</definedName>
    <definedName name="_xlnm.Print_Area" localSheetId="16">'Construction Costs'!$A$1:$Z$57</definedName>
    <definedName name="_xlnm.Print_Area" localSheetId="11">'Current Rent Roll'!$A$1:$T$138</definedName>
    <definedName name="_xlnm.Print_Area" localSheetId="32">'FedHOME &amp; HTF Cost Allocation'!$A$1:$I$75</definedName>
    <definedName name="_xlnm.Print_Area" localSheetId="2">'Fee Schedule'!$A$1:$J$48</definedName>
    <definedName name="_xlnm.Print_Area" localSheetId="24">'MH Underwriting'!$C$1:$W$335</definedName>
    <definedName name="_xlnm.Print_Area" localSheetId="14">'Operating Budget'!$A$1:$F$103</definedName>
    <definedName name="_xlnm.Print_Area" localSheetId="23">'Project Completion Sch'!$A$1:$L$70</definedName>
    <definedName name="_xlnm.Print_Area" localSheetId="17">'Project Costs &amp; Basis'!$A$1:$Z$128</definedName>
    <definedName name="_xlnm.Print_Area" localSheetId="8">'Project Information'!$A$1:$M$131</definedName>
    <definedName name="_xlnm.Print_Area" localSheetId="12">'Proposed Rent Roll'!$A$1:$K$124</definedName>
    <definedName name="_xlnm.Print_Area" localSheetId="4">'Scoring Criteria Calculations'!$A$1:$I$51</definedName>
    <definedName name="_xlnm.Print_Area" localSheetId="21">Sources!$A$1:$K$66</definedName>
    <definedName name="_xlnm.Print_Area" localSheetId="26">'Tax Credit Calc'!$A$1:$L$158</definedName>
    <definedName name="_xlnm.Print_Area" localSheetId="20">'Tax Credit Calculations'!$A$1:$Z$53</definedName>
    <definedName name="_xlnm.Print_Area" localSheetId="7">'Tax Credit Compliance'!$A$1:$K$65</definedName>
    <definedName name="_xlnm.Print_Area" localSheetId="19">'TDC per Unit'!$A$1:$K$50</definedName>
    <definedName name="_xlnm.Print_Titles" localSheetId="28">'Amortization Schedules'!$1:$13</definedName>
    <definedName name="projectdelivery">[1]Sheet2!$F$24:$F$26</definedName>
    <definedName name="SD_138_S_1" localSheetId="30">Mapping!$I$13</definedName>
    <definedName name="SD_161x1_17_S_0" localSheetId="30">Mapping!$I$9</definedName>
    <definedName name="SD_161x1_19_S_0" localSheetId="30">Mapping!$I$10</definedName>
    <definedName name="SD_161x1_26_S_0" localSheetId="30">Mapping!$I$255</definedName>
    <definedName name="SD_161x1_2935x1_2951x1_109_S_1" localSheetId="30">Mapping!$H$232</definedName>
    <definedName name="SD_161x1_2935x1_2951x1_52_S_0" localSheetId="30">Mapping!$I$232</definedName>
    <definedName name="SD_161x1_2935x1_2951x1_54_S_0" localSheetId="30">Mapping!$J$232</definedName>
    <definedName name="SD_161x1_2935x1_2951x1_91_S_1" localSheetId="30">Mapping!$G$232</definedName>
    <definedName name="SD_161x1_2935x1_2951x10_109_S_1" localSheetId="30">Mapping!$H$241</definedName>
    <definedName name="SD_161x1_2935x1_2951x10_52_S_0" localSheetId="30">Mapping!$I$241</definedName>
    <definedName name="SD_161x1_2935x1_2951x10_54_S_0" localSheetId="30">Mapping!$J$241</definedName>
    <definedName name="SD_161x1_2935x1_2951x10_91_S_1" localSheetId="30">Mapping!$G$241</definedName>
    <definedName name="SD_161x1_2935x1_2951x11_109_S_1" localSheetId="30">Mapping!$H$242</definedName>
    <definedName name="SD_161x1_2935x1_2951x11_52_S_0" localSheetId="30">Mapping!$I$242</definedName>
    <definedName name="SD_161x1_2935x1_2951x11_54_S_0" localSheetId="30">Mapping!$J$242</definedName>
    <definedName name="SD_161x1_2935x1_2951x11_91_S_1" localSheetId="30">Mapping!$G$242</definedName>
    <definedName name="SD_161x1_2935x1_2951x12_109_S_1" localSheetId="30">Mapping!$H$243</definedName>
    <definedName name="SD_161x1_2935x1_2951x12_52_S_0" localSheetId="30">Mapping!$I$243</definedName>
    <definedName name="SD_161x1_2935x1_2951x12_54_S_0" localSheetId="30">Mapping!$J$243</definedName>
    <definedName name="SD_161x1_2935x1_2951x12_91_S_1" localSheetId="30">Mapping!$G$243</definedName>
    <definedName name="SD_161x1_2935x1_2951x13_109_S_1" localSheetId="30">Mapping!$H$244</definedName>
    <definedName name="SD_161x1_2935x1_2951x13_52_S_0" localSheetId="30">Mapping!$I$244</definedName>
    <definedName name="SD_161x1_2935x1_2951x13_54_S_0" localSheetId="30">Mapping!$J$244</definedName>
    <definedName name="SD_161x1_2935x1_2951x13_91_S_1" localSheetId="30">Mapping!$G$244</definedName>
    <definedName name="SD_161x1_2935x1_2951x14_109_S_1" localSheetId="30">Mapping!$H$245</definedName>
    <definedName name="SD_161x1_2935x1_2951x14_52_S_0" localSheetId="30">Mapping!$I$245</definedName>
    <definedName name="SD_161x1_2935x1_2951x14_54_S_0" localSheetId="30">Mapping!$J$245</definedName>
    <definedName name="SD_161x1_2935x1_2951x14_91_S_1" localSheetId="30">Mapping!$G$245</definedName>
    <definedName name="SD_161x1_2935x1_2951x15_109_S_1" localSheetId="30">Mapping!$H$246</definedName>
    <definedName name="SD_161x1_2935x1_2951x15_52_S_0" localSheetId="30">Mapping!$I$246</definedName>
    <definedName name="SD_161x1_2935x1_2951x15_54_S_0" localSheetId="30">Mapping!$J$246</definedName>
    <definedName name="SD_161x1_2935x1_2951x15_91_S_1" localSheetId="30">Mapping!$G$246</definedName>
    <definedName name="SD_161x1_2935x1_2951x16_109_S_1" localSheetId="30">Mapping!$H$247</definedName>
    <definedName name="SD_161x1_2935x1_2951x16_52_S_0" localSheetId="30">Mapping!$I$247</definedName>
    <definedName name="SD_161x1_2935x1_2951x16_54_S_0" localSheetId="30">Mapping!$J$247</definedName>
    <definedName name="SD_161x1_2935x1_2951x16_91_S_1" localSheetId="30">Mapping!$G$247</definedName>
    <definedName name="SD_161x1_2935x1_2951x17_109_S_1" localSheetId="30">Mapping!$H$248</definedName>
    <definedName name="SD_161x1_2935x1_2951x17_52_S_0" localSheetId="30">Mapping!$I$248</definedName>
    <definedName name="SD_161x1_2935x1_2951x17_54_S_0" localSheetId="30">Mapping!$J$248</definedName>
    <definedName name="SD_161x1_2935x1_2951x17_91_S_1" localSheetId="30">Mapping!$G$248</definedName>
    <definedName name="SD_161x1_2935x1_2951x18_109_S_1" localSheetId="30">Mapping!$H$249</definedName>
    <definedName name="SD_161x1_2935x1_2951x18_52_S_0" localSheetId="30">Mapping!$I$249</definedName>
    <definedName name="SD_161x1_2935x1_2951x18_54_S_0" localSheetId="30">Mapping!$J$249</definedName>
    <definedName name="SD_161x1_2935x1_2951x18_91_S_1" localSheetId="30">Mapping!$G$249</definedName>
    <definedName name="SD_161x1_2935x1_2951x19_109_S_1" localSheetId="30">Mapping!$H$250</definedName>
    <definedName name="SD_161x1_2935x1_2951x19_52_S_0" localSheetId="30">Mapping!$I$250</definedName>
    <definedName name="SD_161x1_2935x1_2951x19_54_S_0" localSheetId="30">Mapping!$J$250</definedName>
    <definedName name="SD_161x1_2935x1_2951x19_91_S_1" localSheetId="30">Mapping!$G$250</definedName>
    <definedName name="SD_161x1_2935x1_2951x2_109_S_1" localSheetId="30">Mapping!$H$233</definedName>
    <definedName name="SD_161x1_2935x1_2951x2_52_S_0" localSheetId="30">Mapping!$I$233</definedName>
    <definedName name="SD_161x1_2935x1_2951x2_54_S_0" localSheetId="30">Mapping!$J$233</definedName>
    <definedName name="SD_161x1_2935x1_2951x2_91_S_1" localSheetId="30">Mapping!$G$233</definedName>
    <definedName name="SD_161x1_2935x1_2951x20_109_S_1" localSheetId="30">Mapping!$H$251</definedName>
    <definedName name="SD_161x1_2935x1_2951x20_52_S_0" localSheetId="30">Mapping!$I$251</definedName>
    <definedName name="SD_161x1_2935x1_2951x20_54_S_0" localSheetId="30">Mapping!$J$251</definedName>
    <definedName name="SD_161x1_2935x1_2951x20_91_S_1" localSheetId="30">Mapping!$G$251</definedName>
    <definedName name="SD_161x1_2935x1_2951x21_109_S_1" localSheetId="30">Mapping!$H$252</definedName>
    <definedName name="SD_161x1_2935x1_2951x21_52_S_0" localSheetId="30">Mapping!$I$252</definedName>
    <definedName name="SD_161x1_2935x1_2951x21_54_S_0" localSheetId="30">Mapping!$J$252</definedName>
    <definedName name="SD_161x1_2935x1_2951x21_91_S_1" localSheetId="30">Mapping!$G$252</definedName>
    <definedName name="SD_161x1_2935x1_2951x22_109_S_1" localSheetId="30">Mapping!$H$253</definedName>
    <definedName name="SD_161x1_2935x1_2951x22_52_S_0" localSheetId="30">Mapping!$I$253</definedName>
    <definedName name="SD_161x1_2935x1_2951x22_54_S_0" localSheetId="30">Mapping!$J$253</definedName>
    <definedName name="SD_161x1_2935x1_2951x22_91_S_1" localSheetId="30">Mapping!$G$253</definedName>
    <definedName name="SD_161x1_2935x1_2951x23_109_S_1" localSheetId="30">Mapping!$H$254</definedName>
    <definedName name="SD_161x1_2935x1_2951x23_52_S_0" localSheetId="30">Mapping!$I$254</definedName>
    <definedName name="SD_161x1_2935x1_2951x23_54_S_0" localSheetId="30">Mapping!$J$254</definedName>
    <definedName name="SD_161x1_2935x1_2951x23_91_S_1" localSheetId="30">Mapping!$G$254</definedName>
    <definedName name="SD_161x1_2935x1_2951x3_109_S_1" localSheetId="30">Mapping!$H$234</definedName>
    <definedName name="SD_161x1_2935x1_2951x3_52_S_0" localSheetId="30">Mapping!$I$234</definedName>
    <definedName name="SD_161x1_2935x1_2951x3_54_S_0" localSheetId="30">Mapping!$J$234</definedName>
    <definedName name="SD_161x1_2935x1_2951x3_91_S_1" localSheetId="30">Mapping!$G$234</definedName>
    <definedName name="SD_161x1_2935x1_2951x4_109_S_1" localSheetId="30">Mapping!$H$235</definedName>
    <definedName name="SD_161x1_2935x1_2951x4_52_S_0" localSheetId="30">Mapping!$I$235</definedName>
    <definedName name="SD_161x1_2935x1_2951x4_54_S_0" localSheetId="30">Mapping!$J$235</definedName>
    <definedName name="SD_161x1_2935x1_2951x4_91_S_1" localSheetId="30">Mapping!$G$235</definedName>
    <definedName name="SD_161x1_2935x1_2951x5_109_S_1" localSheetId="30">Mapping!$H$236</definedName>
    <definedName name="SD_161x1_2935x1_2951x5_52_S_0" localSheetId="30">Mapping!$I$236</definedName>
    <definedName name="SD_161x1_2935x1_2951x5_54_S_0" localSheetId="30">Mapping!$J$236</definedName>
    <definedName name="SD_161x1_2935x1_2951x5_91_S_1" localSheetId="30">Mapping!$G$236</definedName>
    <definedName name="SD_161x1_2935x1_2951x6_109_S_1" localSheetId="30">Mapping!$H$237</definedName>
    <definedName name="SD_161x1_2935x1_2951x6_52_S_0" localSheetId="30">Mapping!$I$237</definedName>
    <definedName name="SD_161x1_2935x1_2951x6_54_S_0" localSheetId="30">Mapping!$J$237</definedName>
    <definedName name="SD_161x1_2935x1_2951x6_91_S_1" localSheetId="30">Mapping!$G$237</definedName>
    <definedName name="SD_161x1_2935x1_2951x7_109_S_1" localSheetId="30">Mapping!$H$238</definedName>
    <definedName name="SD_161x1_2935x1_2951x7_52_S_0" localSheetId="30">Mapping!$I$238</definedName>
    <definedName name="SD_161x1_2935x1_2951x7_54_S_0" localSheetId="30">Mapping!$J$238</definedName>
    <definedName name="SD_161x1_2935x1_2951x7_91_S_1" localSheetId="30">Mapping!$G$238</definedName>
    <definedName name="SD_161x1_2935x1_2951x8_109_S_1" localSheetId="30">Mapping!$H$239</definedName>
    <definedName name="SD_161x1_2935x1_2951x8_52_S_0" localSheetId="30">Mapping!$I$239</definedName>
    <definedName name="SD_161x1_2935x1_2951x8_54_S_0" localSheetId="30">Mapping!$J$239</definedName>
    <definedName name="SD_161x1_2935x1_2951x8_91_S_1" localSheetId="30">Mapping!$G$239</definedName>
    <definedName name="SD_161x1_2935x1_2951x9_109_S_1" localSheetId="30">Mapping!$H$240</definedName>
    <definedName name="SD_161x1_2935x1_2951x9_52_S_0" localSheetId="30">Mapping!$I$240</definedName>
    <definedName name="SD_161x1_2935x1_2951x9_54_S_0" localSheetId="30">Mapping!$J$240</definedName>
    <definedName name="SD_161x1_2935x1_2951x9_91_S_1" localSheetId="30">Mapping!$G$240</definedName>
    <definedName name="SD_161x1_40_S_0" localSheetId="30">Mapping!$I$24</definedName>
    <definedName name="SD_161x1_48_S_0" localSheetId="30">Mapping!$I$22</definedName>
    <definedName name="SD_161x1_78_S_1" localSheetId="30">Mapping!$I$19</definedName>
    <definedName name="SD_161x1_81_S_1" localSheetId="30">Mapping!$I$11</definedName>
    <definedName name="SD_2349x1_17_S_1" localSheetId="30">Mapping!$I$35</definedName>
    <definedName name="SD_2349x1_21_S_0" localSheetId="30">Mapping!$K$35</definedName>
    <definedName name="SD_2349x1_5_S_0" localSheetId="30">Mapping!$J$35</definedName>
    <definedName name="SD_2349x1_6_S_0" localSheetId="30">Mapping!$L$35</definedName>
    <definedName name="SD_2349x2_17_S_1" localSheetId="30">Mapping!$I$36</definedName>
    <definedName name="SD_2349x2_21_S_0" localSheetId="30">Mapping!$K$36</definedName>
    <definedName name="SD_2349x2_5_S_0" localSheetId="30">Mapping!$J$36</definedName>
    <definedName name="SD_2349x2_6_S_0" localSheetId="30">Mapping!$L$36</definedName>
    <definedName name="SD_2349x3_17_S_1" localSheetId="30">Mapping!$I$37</definedName>
    <definedName name="SD_2349x3_21_S_0" localSheetId="30">Mapping!$K$37</definedName>
    <definedName name="SD_2349x3_5_S_0" localSheetId="30">Mapping!$J$37</definedName>
    <definedName name="SD_2349x3_6_S_0" localSheetId="30">Mapping!$L$37</definedName>
    <definedName name="SD_2349x4_17_S_1" localSheetId="30">Mapping!$I$38</definedName>
    <definedName name="SD_2349x4_21_S_0" localSheetId="30">Mapping!$K$38</definedName>
    <definedName name="SD_2349x4_5_S_0" localSheetId="30">Mapping!$J$38</definedName>
    <definedName name="SD_2349x4_6_S_0" localSheetId="30">Mapping!$L$38</definedName>
    <definedName name="SD_2357x1_39_S_1" localSheetId="30">Mapping!$Q$183</definedName>
    <definedName name="SD_2357x1_5_S_0" localSheetId="30">Mapping!$O$183</definedName>
    <definedName name="SD_2357x1_6_S_0" localSheetId="30">Mapping!$S$183</definedName>
    <definedName name="SD_2357x1_61_S_1" localSheetId="30">Mapping!$N$183</definedName>
    <definedName name="SD_2357x1_7_S_0" localSheetId="30">Mapping!$P$183</definedName>
    <definedName name="SD_2357x1_71_G_1" localSheetId="24">'MH Underwriting'!$F$78</definedName>
    <definedName name="SD_2357x1_71_S_1" localSheetId="30" hidden="1">Mapping!$M$183</definedName>
    <definedName name="SD_2357x10_39_S_1" localSheetId="30">Mapping!$Q$192</definedName>
    <definedName name="SD_2357x10_5_S_0" localSheetId="30">Mapping!$O$192</definedName>
    <definedName name="SD_2357x10_6_S_0" localSheetId="30">Mapping!$S$192</definedName>
    <definedName name="SD_2357x10_61_S_1" localSheetId="30">Mapping!$N$192</definedName>
    <definedName name="SD_2357x10_7_S_0" localSheetId="30">Mapping!$P$192</definedName>
    <definedName name="SD_2357x10_71_G_1" localSheetId="24" hidden="1">'MH Underwriting'!$F$86</definedName>
    <definedName name="SD_2357x10_71_S_1" localSheetId="30" hidden="1">Mapping!$M$192</definedName>
    <definedName name="SD_2357x11_39_S_1" localSheetId="30">Mapping!$Q$193</definedName>
    <definedName name="SD_2357x11_5_S_0" localSheetId="30">Mapping!$O$193</definedName>
    <definedName name="SD_2357x11_6_S_0" localSheetId="30">Mapping!$S$193</definedName>
    <definedName name="SD_2357x11_61_S_1" localSheetId="30">Mapping!$N$193</definedName>
    <definedName name="SD_2357x11_7_S_0" localSheetId="30">Mapping!$P$193</definedName>
    <definedName name="SD_2357x11_71_G_1" localSheetId="24" hidden="1">'MH Underwriting'!$F$87</definedName>
    <definedName name="SD_2357x11_71_S_1" localSheetId="30" hidden="1">Mapping!$M$193</definedName>
    <definedName name="SD_2357x12_39_S_1" localSheetId="30">Mapping!$Q$194</definedName>
    <definedName name="SD_2357x12_5_S_0" localSheetId="30">Mapping!$O$194</definedName>
    <definedName name="SD_2357x12_6_S_0" localSheetId="30">Mapping!$S$194</definedName>
    <definedName name="SD_2357x12_61_S_1" localSheetId="30">Mapping!$N$194</definedName>
    <definedName name="SD_2357x12_7_S_0" localSheetId="30">Mapping!$P$194</definedName>
    <definedName name="SD_2357x12_71_G_1" localSheetId="24" hidden="1">'MH Underwriting'!$F$88</definedName>
    <definedName name="SD_2357x12_71_S_1" localSheetId="30" hidden="1">Mapping!$M$194</definedName>
    <definedName name="SD_2357x13_39_S_1" localSheetId="30">Mapping!$Q$195</definedName>
    <definedName name="SD_2357x13_5_S_0" localSheetId="30">Mapping!$O$195</definedName>
    <definedName name="SD_2357x13_6_S_0" localSheetId="30">Mapping!$S$195</definedName>
    <definedName name="SD_2357x13_61_S_1" localSheetId="30">Mapping!$N$195</definedName>
    <definedName name="SD_2357x13_7_S_0" localSheetId="30">Mapping!$P$195</definedName>
    <definedName name="SD_2357x13_71_G_1" localSheetId="24" hidden="1">'MH Underwriting'!$F$90</definedName>
    <definedName name="SD_2357x13_71_S_1" localSheetId="30" hidden="1">Mapping!$M$195</definedName>
    <definedName name="SD_2357x14_39_S_1" localSheetId="30">Mapping!$Q$196</definedName>
    <definedName name="SD_2357x14_5_S_0" localSheetId="30">Mapping!$O$196</definedName>
    <definedName name="SD_2357x14_6_S_0" localSheetId="30">Mapping!$S$196</definedName>
    <definedName name="SD_2357x14_61_S_1" localSheetId="30">Mapping!$N$196</definedName>
    <definedName name="SD_2357x14_7_S_0" localSheetId="30">Mapping!$P$196</definedName>
    <definedName name="SD_2357x14_71_G_1" localSheetId="24" hidden="1">'MH Underwriting'!$F$92</definedName>
    <definedName name="SD_2357x14_71_S_1" localSheetId="30" hidden="1">Mapping!$M$196</definedName>
    <definedName name="SD_2357x15_39_S_1" localSheetId="30">Mapping!$Q$197</definedName>
    <definedName name="SD_2357x15_5_S_0" localSheetId="30">Mapping!$O$197</definedName>
    <definedName name="SD_2357x15_6_S_0" localSheetId="30">Mapping!$S$197</definedName>
    <definedName name="SD_2357x15_61_S_1" localSheetId="30">Mapping!$N$197</definedName>
    <definedName name="SD_2357x15_7_S_0" localSheetId="30">Mapping!$P$197</definedName>
    <definedName name="SD_2357x15_71_G_1" localSheetId="24" hidden="1">'MH Underwriting'!$F$93</definedName>
    <definedName name="SD_2357x15_71_S_1" localSheetId="30" hidden="1">Mapping!$M$197</definedName>
    <definedName name="SD_2357x16_39_S_1" localSheetId="30">Mapping!$Q$198</definedName>
    <definedName name="SD_2357x16_5_S_0" localSheetId="30">Mapping!$O$198</definedName>
    <definedName name="SD_2357x16_6_S_0" localSheetId="30">Mapping!$S$198</definedName>
    <definedName name="SD_2357x16_61_S_1" localSheetId="30">Mapping!$N$198</definedName>
    <definedName name="SD_2357x16_7_S_0" localSheetId="30">Mapping!$P$198</definedName>
    <definedName name="SD_2357x16_71_G_1" localSheetId="24" hidden="1">'MH Underwriting'!$F$94</definedName>
    <definedName name="SD_2357x16_71_S_1" localSheetId="30" hidden="1">Mapping!$M$198</definedName>
    <definedName name="SD_2357x17_39_S_1" localSheetId="30">Mapping!$Q$199</definedName>
    <definedName name="SD_2357x17_5_S_0" localSheetId="30">Mapping!$O$199</definedName>
    <definedName name="SD_2357x17_6_S_0" localSheetId="30">Mapping!$S$199</definedName>
    <definedName name="SD_2357x17_61_S_1" localSheetId="30">Mapping!$N$199</definedName>
    <definedName name="SD_2357x17_7_S_0" localSheetId="30">Mapping!$P$199</definedName>
    <definedName name="SD_2357x17_71_G_1" localSheetId="24" hidden="1">'MH Underwriting'!$F$95</definedName>
    <definedName name="SD_2357x17_71_S_1" localSheetId="30" hidden="1">Mapping!$M$199</definedName>
    <definedName name="SD_2357x18_39_S_1" localSheetId="30">Mapping!$Q$200</definedName>
    <definedName name="SD_2357x18_5_S_0" localSheetId="30">Mapping!$O$200</definedName>
    <definedName name="SD_2357x18_6_S_0" localSheetId="30">Mapping!$S$200</definedName>
    <definedName name="SD_2357x18_61_S_1" localSheetId="30">Mapping!$N$200</definedName>
    <definedName name="SD_2357x18_7_S_0" localSheetId="30">Mapping!$P$200</definedName>
    <definedName name="SD_2357x18_71_G_1" localSheetId="24" hidden="1">'MH Underwriting'!$F$96</definedName>
    <definedName name="SD_2357x18_71_S_1" localSheetId="30" hidden="1">Mapping!$M$200</definedName>
    <definedName name="SD_2357x19_39_S_1" localSheetId="30">Mapping!$Q$201</definedName>
    <definedName name="SD_2357x19_5_S_0" localSheetId="30">Mapping!$O$201</definedName>
    <definedName name="SD_2357x19_6_S_0" localSheetId="30">Mapping!$S$201</definedName>
    <definedName name="SD_2357x19_61_S_1" localSheetId="30">Mapping!$N$201</definedName>
    <definedName name="SD_2357x19_7_S_0" localSheetId="30">Mapping!$P$201</definedName>
    <definedName name="SD_2357x19_71_G_1" localSheetId="24" hidden="1">'MH Underwriting'!$F$97</definedName>
    <definedName name="SD_2357x19_71_S_1" localSheetId="30" hidden="1">Mapping!$M$201</definedName>
    <definedName name="SD_2357x2_39_S_1" localSheetId="30">Mapping!$Q$184</definedName>
    <definedName name="SD_2357x2_5_S_0" localSheetId="30">Mapping!$O$184</definedName>
    <definedName name="SD_2357x2_6_S_0" localSheetId="30">Mapping!$S$184</definedName>
    <definedName name="SD_2357x2_61_S_1" localSheetId="30">Mapping!$N$184</definedName>
    <definedName name="SD_2357x2_7_S_0" localSheetId="30">Mapping!$P$184</definedName>
    <definedName name="SD_2357x2_71_G_1" localSheetId="24" hidden="1">'MH Underwriting'!$F$79</definedName>
    <definedName name="SD_2357x2_71_S_1" localSheetId="30" hidden="1">Mapping!$M$184</definedName>
    <definedName name="SD_2357x20_39_S_1" localSheetId="30">Mapping!$Q$202</definedName>
    <definedName name="SD_2357x20_5_S_0" localSheetId="30">Mapping!$O$202</definedName>
    <definedName name="SD_2357x20_6_S_0" localSheetId="30">Mapping!$S$202</definedName>
    <definedName name="SD_2357x20_61_S_1" localSheetId="30">Mapping!$N$202</definedName>
    <definedName name="SD_2357x20_7_S_0" localSheetId="30">Mapping!$P$202</definedName>
    <definedName name="SD_2357x20_71_G_1" localSheetId="24" hidden="1">'MH Underwriting'!$F$98</definedName>
    <definedName name="SD_2357x20_71_S_1" localSheetId="30" hidden="1">Mapping!$M$202</definedName>
    <definedName name="SD_2357x21_39_S_1" localSheetId="30">Mapping!$Q$203</definedName>
    <definedName name="SD_2357x21_5_S_0" localSheetId="30">Mapping!$O$203</definedName>
    <definedName name="SD_2357x21_6_S_0" localSheetId="30">Mapping!$S$203</definedName>
    <definedName name="SD_2357x21_61_S_1" localSheetId="30">Mapping!$N$203</definedName>
    <definedName name="SD_2357x21_7_S_0" localSheetId="30">Mapping!$P$203</definedName>
    <definedName name="SD_2357x21_71_G_1" localSheetId="24" hidden="1">'MH Underwriting'!$F$99</definedName>
    <definedName name="SD_2357x21_71_S_1" localSheetId="30" hidden="1">Mapping!$M$203</definedName>
    <definedName name="SD_2357x3_39_S_1" localSheetId="30">Mapping!$Q$185</definedName>
    <definedName name="SD_2357x3_5_S_0" localSheetId="30">Mapping!$O$185</definedName>
    <definedName name="SD_2357x3_6_S_0" localSheetId="30">Mapping!$S$185</definedName>
    <definedName name="SD_2357x3_61_S_1" localSheetId="30">Mapping!$N$185</definedName>
    <definedName name="SD_2357x3_7_S_0" localSheetId="30">Mapping!$P$185</definedName>
    <definedName name="SD_2357x3_71_G_1" localSheetId="24" hidden="1">'MH Underwriting'!$F$80</definedName>
    <definedName name="SD_2357x3_71_S_1" localSheetId="30" hidden="1">Mapping!$M$185</definedName>
    <definedName name="SD_2357x4_39_S_1" localSheetId="30">Mapping!$Q$186</definedName>
    <definedName name="SD_2357x4_5_S_0" localSheetId="30">Mapping!$O$186</definedName>
    <definedName name="SD_2357x4_6_S_0" localSheetId="30">Mapping!$S$186</definedName>
    <definedName name="SD_2357x4_61_S_1" localSheetId="30">Mapping!$N$186</definedName>
    <definedName name="SD_2357x4_7_S_0" localSheetId="30">Mapping!$P$186</definedName>
    <definedName name="SD_2357x4_71_G_1" localSheetId="24" hidden="1">'MH Underwriting'!$X$86</definedName>
    <definedName name="SD_2357x4_71_S_1" localSheetId="30" hidden="1">Mapping!$M$186</definedName>
    <definedName name="SD_2357x5_39_S_1" localSheetId="30">Mapping!$Q$187</definedName>
    <definedName name="SD_2357x5_5_S_0" localSheetId="30">Mapping!$O$187</definedName>
    <definedName name="SD_2357x5_6_S_0" localSheetId="30">Mapping!$S$187</definedName>
    <definedName name="SD_2357x5_61_S_1" localSheetId="30">Mapping!$N$187</definedName>
    <definedName name="SD_2357x5_7_S_0" localSheetId="30">Mapping!$P$187</definedName>
    <definedName name="SD_2357x5_71_G_1" localSheetId="24" hidden="1">'MH Underwriting'!$X$90</definedName>
    <definedName name="SD_2357x5_71_S_1" localSheetId="30" hidden="1">Mapping!$M$187</definedName>
    <definedName name="SD_2357x6_39_S_1" localSheetId="30">Mapping!$Q$188</definedName>
    <definedName name="SD_2357x6_5_S_0" localSheetId="30">Mapping!$O$188</definedName>
    <definedName name="SD_2357x6_6_S_0" localSheetId="30">Mapping!$S$188</definedName>
    <definedName name="SD_2357x6_61_S_1" localSheetId="30">Mapping!$N$188</definedName>
    <definedName name="SD_2357x6_7_S_0" localSheetId="30">Mapping!$P$188</definedName>
    <definedName name="SD_2357x6_71_G_1" localSheetId="24" hidden="1">'MH Underwriting'!$F$81</definedName>
    <definedName name="SD_2357x6_71_S_1" localSheetId="30" hidden="1">Mapping!$M$188</definedName>
    <definedName name="SD_2357x7_39_S_1" localSheetId="30">Mapping!$Q$189</definedName>
    <definedName name="SD_2357x7_5_S_0" localSheetId="30">Mapping!$O$189</definedName>
    <definedName name="SD_2357x7_6_S_0" localSheetId="30">Mapping!$S$189</definedName>
    <definedName name="SD_2357x7_61_S_1" localSheetId="30">Mapping!$N$189</definedName>
    <definedName name="SD_2357x7_7_S_0" localSheetId="30">Mapping!$P$189</definedName>
    <definedName name="SD_2357x7_71_G_1" localSheetId="24" hidden="1">'MH Underwriting'!$F$83</definedName>
    <definedName name="SD_2357x7_71_S_1" localSheetId="30" hidden="1">Mapping!$M$189</definedName>
    <definedName name="SD_2357x8_39_S_1" localSheetId="30">Mapping!$Q$190</definedName>
    <definedName name="SD_2357x8_5_S_0" localSheetId="30">Mapping!$O$190</definedName>
    <definedName name="SD_2357x8_6_S_0" localSheetId="30">Mapping!$S$190</definedName>
    <definedName name="SD_2357x8_61_S_1" localSheetId="30">Mapping!$N$190</definedName>
    <definedName name="SD_2357x8_7_S_0" localSheetId="30">Mapping!$P$190</definedName>
    <definedName name="SD_2357x8_71_G_1" localSheetId="24" hidden="1">'MH Underwriting'!$F$84</definedName>
    <definedName name="SD_2357x8_71_S_1" localSheetId="30" hidden="1">Mapping!$M$190</definedName>
    <definedName name="SD_2357x9_39_S_1" localSheetId="30">Mapping!$Q$191</definedName>
    <definedName name="SD_2357x9_5_S_0" localSheetId="30">Mapping!$O$191</definedName>
    <definedName name="SD_2357x9_6_S_0" localSheetId="30">Mapping!$S$191</definedName>
    <definedName name="SD_2357x9_61_S_1" localSheetId="30">Mapping!$N$191</definedName>
    <definedName name="SD_2357x9_7_S_0" localSheetId="30">Mapping!$P$191</definedName>
    <definedName name="SD_2357x9_71_G_1" localSheetId="24" hidden="1">'MH Underwriting'!$F$85</definedName>
    <definedName name="SD_2357x9_71_S_1" localSheetId="30" hidden="1">Mapping!$M$191</definedName>
    <definedName name="SD_3946x1_100_B_0" localSheetId="30">Mapping!$B$4</definedName>
    <definedName name="SD_3946x1_109_S_0" localSheetId="30">Mapping!$H$306</definedName>
    <definedName name="SD_3946x1_110_S_0" localSheetId="30">Mapping!$I$306</definedName>
    <definedName name="SD_3946x1_111_S_0" localSheetId="30">Mapping!$H$313</definedName>
    <definedName name="SD_3946x1_112_S_0" localSheetId="30">Mapping!$I$313</definedName>
    <definedName name="SD_3946x1_113_S_0" localSheetId="30">Mapping!$H$314</definedName>
    <definedName name="SD_3946x1_114_S_0" localSheetId="30">Mapping!$I$314</definedName>
    <definedName name="SD_3946x1_115_S_0" localSheetId="30">Mapping!$H$315</definedName>
    <definedName name="SD_3946x1_116_S_0" localSheetId="30">Mapping!$I$315</definedName>
    <definedName name="SD_3946x1_117_S_0" localSheetId="30">Mapping!$H$316</definedName>
    <definedName name="SD_3946x1_118_S_0" localSheetId="30">Mapping!$I$316</definedName>
    <definedName name="SD_3946x1_119_S_0" localSheetId="30">Mapping!$H$317</definedName>
    <definedName name="SD_3946x1_120_S_0" localSheetId="30">Mapping!$I$317</definedName>
    <definedName name="SD_3946x1_121_S_0" localSheetId="30">Mapping!$H$320</definedName>
    <definedName name="SD_3946x1_122_S_0" localSheetId="30">Mapping!$I$320</definedName>
    <definedName name="SD_3946x1_123_S_0" localSheetId="30">Mapping!$H$321</definedName>
    <definedName name="SD_3946x1_124_S_0" localSheetId="30">Mapping!$I$321</definedName>
    <definedName name="SD_3946x1_125_S_0" localSheetId="30">Mapping!$H$322</definedName>
    <definedName name="SD_3946x1_126_S_0" localSheetId="30">Mapping!$I$322</definedName>
    <definedName name="SD_3946x1_127_S_0" localSheetId="30">Mapping!$H$323</definedName>
    <definedName name="SD_3946x1_128_S_0" localSheetId="30">Mapping!$I$323</definedName>
    <definedName name="SD_3946x1_129_S_0" localSheetId="30">Mapping!$H$325</definedName>
    <definedName name="SD_3946x1_130_S_0" localSheetId="30">Mapping!$I$325</definedName>
    <definedName name="SD_3946x1_131_S_0" localSheetId="30">Mapping!$H$326</definedName>
    <definedName name="SD_3946x1_132_S_0" localSheetId="30">Mapping!$I$326</definedName>
    <definedName name="SD_3946x1_133_S_0" localSheetId="30">Mapping!$H$328</definedName>
    <definedName name="SD_3946x1_134_S_0" localSheetId="30">Mapping!$I$328</definedName>
    <definedName name="SD_3946x1_135_S_0" localSheetId="30">Mapping!$H$329</definedName>
    <definedName name="SD_3946x1_136_S_0" localSheetId="30">Mapping!$I$329</definedName>
    <definedName name="SD_3946x1_137_S_0" localSheetId="30">Mapping!$H$330</definedName>
    <definedName name="SD_3946x1_138_S_0" localSheetId="30">Mapping!$I$330</definedName>
    <definedName name="SD_3946x1_139_S_0" localSheetId="30">Mapping!$H$333</definedName>
    <definedName name="SD_3946x1_140_S_0" localSheetId="30">Mapping!$I$333</definedName>
    <definedName name="SD_3946x1_141_S_0" localSheetId="30">Mapping!$H$334</definedName>
    <definedName name="SD_3946x1_142_S_0" localSheetId="30">Mapping!$I$334</definedName>
    <definedName name="SD_3946x1_143_S_0" localSheetId="30">Mapping!$H$335</definedName>
    <definedName name="SD_3946x1_144_S_0" localSheetId="30">Mapping!$I$335</definedName>
    <definedName name="SD_3946x1_145_S_0" localSheetId="30">Mapping!$H$336</definedName>
    <definedName name="SD_3946x1_146_S_0" localSheetId="30">Mapping!$I$336</definedName>
    <definedName name="SD_3946x1_147_S_0" localSheetId="30">Mapping!$H$338</definedName>
    <definedName name="SD_3946x1_148_S_0" localSheetId="30">Mapping!$I$338</definedName>
    <definedName name="SD_3946x1_149_S_0" localSheetId="30">Mapping!$H$339</definedName>
    <definedName name="SD_3946x1_150_S_0" localSheetId="30">Mapping!$I$339</definedName>
    <definedName name="SD_3946x1_151_S_0" localSheetId="30">Mapping!$H$340</definedName>
    <definedName name="SD_3946x1_152_S_0" localSheetId="30">Mapping!$I$340</definedName>
    <definedName name="SD_3946x1_153_S_0" localSheetId="30">Mapping!$H$341</definedName>
    <definedName name="SD_3946x1_154_S_0" localSheetId="30">Mapping!$I$341</definedName>
    <definedName name="SD_3946x1_155_S_0" localSheetId="30">Mapping!$H$342</definedName>
    <definedName name="SD_3946x1_156_S_0" localSheetId="30">Mapping!$I$342</definedName>
    <definedName name="SD_3946x1_157_S_0" localSheetId="30">Mapping!$H$346</definedName>
    <definedName name="SD_3946x1_158_S_0" localSheetId="30">Mapping!$I$346</definedName>
    <definedName name="SD_3946x1_159_S_0" localSheetId="30">Mapping!$H$347</definedName>
    <definedName name="SD_3946x1_160_S_0" localSheetId="30">Mapping!$I$347</definedName>
    <definedName name="SD_3946x1_161_S_0" localSheetId="30">Mapping!$H$348</definedName>
    <definedName name="SD_3946x1_162_S_0" localSheetId="30">Mapping!$I$348</definedName>
    <definedName name="SD_3946x1_163_S_0" localSheetId="30">Mapping!$H$349</definedName>
    <definedName name="SD_3946x1_164_S_0" localSheetId="30">Mapping!$I$349</definedName>
    <definedName name="SD_3946x1_165_S_0" localSheetId="30">Mapping!$H$351</definedName>
    <definedName name="SD_3946x1_166_S_0" localSheetId="30">Mapping!$I$351</definedName>
    <definedName name="SD_3946x1_167_S_0" localSheetId="30">Mapping!$H$352</definedName>
    <definedName name="SD_3946x1_168_S_0" localSheetId="30">Mapping!$I$352</definedName>
    <definedName name="SD_3946x1_169_S_0" localSheetId="30">Mapping!$G$260</definedName>
    <definedName name="SD_3946x1_170_S_0" localSheetId="30">Mapping!$H$260</definedName>
    <definedName name="SD_3946x1_171_S_0" localSheetId="30">Mapping!$H$307</definedName>
    <definedName name="SD_3946x1_172_S_0" localSheetId="30">Mapping!$I$307</definedName>
    <definedName name="SD_3946x1_173_S_0" localSheetId="30">Mapping!$H$308</definedName>
    <definedName name="SD_3946x1_174_S_0" localSheetId="30">Mapping!$I$308</definedName>
    <definedName name="SD_3946x1_175_S_0" localSheetId="30">Mapping!$H$309</definedName>
    <definedName name="SD_3946x1_176_S_0" localSheetId="30">Mapping!$I$309</definedName>
    <definedName name="SD_3946x1_177_S_0" localSheetId="30">Mapping!$H$310</definedName>
    <definedName name="SD_3946x1_178_S_0" localSheetId="30">Mapping!$I$310</definedName>
    <definedName name="SD_3946x1_179_S_0" localSheetId="30">Mapping!$H$311</definedName>
    <definedName name="SD_3946x1_180_S_0" localSheetId="30">Mapping!$I$311</definedName>
    <definedName name="SD_3946x1_181_S_0" localSheetId="30">Mapping!$H$312</definedName>
    <definedName name="SD_3946x1_182_S_0" localSheetId="30">Mapping!$I$312</definedName>
    <definedName name="SD_3946x1_183_S_0" localSheetId="30">Mapping!$H$324</definedName>
    <definedName name="SD_3946x1_184_S_0" localSheetId="30">Mapping!$I$324</definedName>
    <definedName name="SD_3946x1_185_S_0" localSheetId="30">Mapping!$H$327</definedName>
    <definedName name="SD_3946x1_186_S_0" localSheetId="30">Mapping!$I$327</definedName>
    <definedName name="SD_3946x1_187_S_0" localSheetId="30">Mapping!$I$361</definedName>
    <definedName name="SD_3946x1_188_S_0" localSheetId="30">Mapping!$J$361</definedName>
    <definedName name="SD_3946x1_189_S_0" localSheetId="30">Mapping!$I$362</definedName>
    <definedName name="SD_3946x1_190_S_0" localSheetId="30">Mapping!$J$362</definedName>
    <definedName name="SD_3946x1_191_S_0" localSheetId="30">Mapping!$I$363</definedName>
    <definedName name="SD_3946x1_192_S_0" localSheetId="30">Mapping!$J$363</definedName>
    <definedName name="SD_3946x1_193_S_0" localSheetId="30">Mapping!$I$364</definedName>
    <definedName name="SD_3946x1_194_S_0" localSheetId="30">Mapping!$J$364</definedName>
    <definedName name="SD_3946x1_195_S_0" localSheetId="30">Mapping!$I$365</definedName>
    <definedName name="SD_3946x1_196_S_0" localSheetId="30">Mapping!$J$365</definedName>
    <definedName name="SD_3946x1_197_S_0" localSheetId="30">Mapping!$I$377</definedName>
    <definedName name="SD_3946x1_198_S_0" localSheetId="30">Mapping!$I$378</definedName>
    <definedName name="SD_3946x1_199_S_0" localSheetId="30">Mapping!$I$379</definedName>
    <definedName name="SD_3946x1_200_S_0" localSheetId="30">Mapping!$I$380</definedName>
    <definedName name="SD_3946x1_201_S_0" localSheetId="30">Mapping!$I$381</definedName>
    <definedName name="SD_3946x1_202_S_0" localSheetId="30">Mapping!$I$382</definedName>
    <definedName name="SD_3946x1_203_S_0" localSheetId="30">Mapping!$I$383</definedName>
    <definedName name="SD_3946x1_204_S_0" localSheetId="30">Mapping!$I$384</definedName>
    <definedName name="SD_3946x1_205_S_0" localSheetId="30">Mapping!$I$385</definedName>
    <definedName name="SD_3946x1_206_S_0" localSheetId="30">Mapping!$I$386</definedName>
    <definedName name="SD_3946x1_207_S_0" localSheetId="30">Mapping!$I$387</definedName>
    <definedName name="SD_3946x1_208_S_0" localSheetId="30">Mapping!$I$388</definedName>
    <definedName name="SD_3946x1_209_S_0" localSheetId="30">Mapping!$I$389</definedName>
    <definedName name="SD_3946x1_210_S_0" localSheetId="30">Mapping!$I$390</definedName>
    <definedName name="SD_3946x1_211_S_0" localSheetId="30">Mapping!$I$391</definedName>
    <definedName name="SD_4270x1_4371x1_115_S_1" localSheetId="30">Mapping!$M$11</definedName>
    <definedName name="SD_4270x1_4371x1_125_S_1" localSheetId="30">Mapping!$M$20</definedName>
    <definedName name="SD_4270x1_4371x1_129_S_0" localSheetId="30">Mapping!$M$9</definedName>
    <definedName name="SD_4270x1_4371x1_131_S_0" localSheetId="30">Mapping!$M$10</definedName>
    <definedName name="SD_4270x1_4371x1_134_S_0" localSheetId="30">Mapping!$M$12</definedName>
    <definedName name="SD_4270x1_4371x1_162_S_0" localSheetId="30" hidden="1">Mapping!$N$255</definedName>
    <definedName name="SD_4270x1_4371x1_181_S_0" localSheetId="30" hidden="1">Mapping!$M$15</definedName>
    <definedName name="SD_4270x1_4371x1_185_S_0" localSheetId="30" hidden="1">Mapping!$M$14</definedName>
    <definedName name="SD_4270x1_4371x1_200_S_0" localSheetId="30">Mapping!$M$21</definedName>
    <definedName name="SD_4270x1_4371x1_221_S_0" localSheetId="30">Mapping!$M$260</definedName>
    <definedName name="SD_4270x1_4371x1_223_S_0" localSheetId="30">Mapping!$I$370</definedName>
    <definedName name="SD_4270x1_4371x1_224_S_0" localSheetId="30">Mapping!$I$371</definedName>
    <definedName name="SD_4270x1_4371x1_225_S_0" localSheetId="30">Mapping!$I$372</definedName>
    <definedName name="SD_4270x1_4371x1_226_S_0" localSheetId="30">Mapping!$M$264</definedName>
    <definedName name="SD_4270x1_4371x1_230_S_0" localSheetId="30">Mapping!$M$262</definedName>
    <definedName name="SD_4270x1_4371x1_231_S_0" localSheetId="30">Mapping!$M$263</definedName>
    <definedName name="SD_4270x1_4371x1_233_S_0" localSheetId="30">Mapping!$M$265</definedName>
    <definedName name="SD_4270x1_4371x1_234_S_0" localSheetId="30">Mapping!$M$266</definedName>
    <definedName name="SD_4270x1_4371x1_238_S_0" localSheetId="30">Mapping!$M$267</definedName>
    <definedName name="SD_4270x1_4371x1_239_S_0" localSheetId="30">Mapping!$M$273</definedName>
    <definedName name="SD_4270x1_4371x1_240_S_0" localSheetId="30">Mapping!$M$274</definedName>
    <definedName name="SD_4270x1_4371x1_241_S_0" localSheetId="30">Mapping!$M$275</definedName>
    <definedName name="SD_4270x1_4371x1_244_S_0" localSheetId="30">Mapping!$M$270</definedName>
    <definedName name="SD_4270x1_4371x1_245_S_0" localSheetId="30">Mapping!$M$271</definedName>
    <definedName name="SD_4270x1_4371x1_246_S_0" localSheetId="30">Mapping!$M$272</definedName>
    <definedName name="SD_4270x1_4371x1_248_S_0" localSheetId="30">Mapping!$M$276</definedName>
    <definedName name="SD_4270x1_4371x1_250_S_0" localSheetId="30">Mapping!$M$281</definedName>
    <definedName name="SD_4270x1_4371x1_251_S_0" localSheetId="30">Mapping!$M$282</definedName>
    <definedName name="SD_4270x1_4371x1_252_S_0" localSheetId="30">Mapping!$M$283</definedName>
    <definedName name="SD_4270x1_4371x1_253_S_0" localSheetId="30">Mapping!$M$285</definedName>
    <definedName name="SD_4270x1_4371x1_254_S_0" localSheetId="30">Mapping!$M$286</definedName>
    <definedName name="SD_4270x1_4371x1_256_S_0" localSheetId="30">Mapping!$M$287</definedName>
    <definedName name="SD_4270x1_4371x1_257_S_0" localSheetId="30">Mapping!$M$288</definedName>
    <definedName name="SD_4270x1_4371x1_260_S_0" localSheetId="30">Mapping!$M$295</definedName>
    <definedName name="SD_4270x1_4371x1_262_S_0" localSheetId="30">Mapping!$M$278</definedName>
    <definedName name="SD_4270x1_4371x1_263_S_0" localSheetId="30">Mapping!$M$293</definedName>
    <definedName name="SD_4270x1_4371x1_266_S_0" localSheetId="30">Mapping!$M$294</definedName>
    <definedName name="SD_4270x1_4371x1_270_S_0" localSheetId="30">Mapping!$M$296</definedName>
    <definedName name="SD_4270x1_4371x1_271_S_0" localSheetId="30">Mapping!$M$298</definedName>
    <definedName name="SD_4270x1_4371x1_362_S_1" localSheetId="30">Mapping!$M$13</definedName>
    <definedName name="SD_4270x1_4371x1_412_S_0" localSheetId="30">Mapping!$G$162</definedName>
    <definedName name="SD_4270x1_4371x1_413_S_0" localSheetId="30">Mapping!$G$163</definedName>
    <definedName name="SD_4270x1_4371x1_414_S_0" localSheetId="30">Mapping!$G$144</definedName>
    <definedName name="SD_4270x1_4371x1_415_S_0" localSheetId="30">Mapping!$G$150</definedName>
    <definedName name="SD_4270x1_4371x1_416_S_0" localSheetId="30">Mapping!$G$158</definedName>
    <definedName name="SD_4270x1_4371x1_417_S_0" localSheetId="30">Mapping!$G$164</definedName>
    <definedName name="SD_4270x1_4371x1_418_S_0" localSheetId="30">Mapping!$G$170</definedName>
    <definedName name="SD_4270x1_4371x1_419_S_0" localSheetId="30">Mapping!$G$156</definedName>
    <definedName name="SD_4270x1_4371x1_420_S_0" localSheetId="30">Mapping!$G$157</definedName>
    <definedName name="SD_4270x1_4371x1_421_S_0" localSheetId="30">Mapping!$G$167</definedName>
    <definedName name="SD_4270x1_4371x1_422_S_0" localSheetId="30">Mapping!$G$168</definedName>
    <definedName name="SD_4270x1_4371x1_423_S_0" localSheetId="30">Mapping!$G$169</definedName>
    <definedName name="SD_4270x1_4371x1_424_S_0" localSheetId="30">Mapping!$G$172</definedName>
    <definedName name="SD_4270x1_4371x1_425_S_0" localSheetId="30">Mapping!$G$173</definedName>
    <definedName name="SD_4270x1_4371x1_4546x1_10_S_0" localSheetId="30">Mapping!$I$135</definedName>
    <definedName name="SD_4270x1_4371x1_4546x1_22_S_0" localSheetId="30">Mapping!$I$136</definedName>
    <definedName name="SD_4270x1_4371x1_4546x1_23_S_0" localSheetId="30">Mapping!$I$138</definedName>
    <definedName name="SD_4270x1_4371x1_4546x1_27_S_0" localSheetId="30">Mapping!$I$146</definedName>
    <definedName name="SD_4270x1_4371x1_4546x1_28_S_0" localSheetId="30">Mapping!$I$147</definedName>
    <definedName name="SD_4270x1_4371x1_4546x1_29_S_0" localSheetId="30">Mapping!$I$142</definedName>
    <definedName name="SD_4270x1_4371x1_4546x1_30_S_0" localSheetId="30">Mapping!$I$143</definedName>
    <definedName name="SD_4270x1_4371x1_4546x1_31_S_0" localSheetId="30">Mapping!$I$141</definedName>
    <definedName name="SD_4270x1_4371x1_4546x1_32_S_0" localSheetId="30">Mapping!$I$140</definedName>
    <definedName name="SD_4270x1_4371x1_4546x1_33_S_0" localSheetId="30">Mapping!$I$139</definedName>
    <definedName name="SD_4270x1_4371x1_4546x1_34_S_0" localSheetId="30">Mapping!$I$148</definedName>
    <definedName name="SD_4270x1_4371x1_4546x1_35_S_0" localSheetId="30">Mapping!$I$149</definedName>
    <definedName name="SD_4270x1_4371x1_4546x1_38_S_0" localSheetId="30">Mapping!$I$154</definedName>
    <definedName name="SD_4270x1_4371x1_4546x1_40_S_0" localSheetId="30">Mapping!$I$153</definedName>
    <definedName name="SD_4270x1_4371x1_4546x1_41_S_0" localSheetId="30">Mapping!$I$152</definedName>
    <definedName name="SD_4270x1_4371x1_4546x1_42_S_0" localSheetId="30">Mapping!$I$166</definedName>
    <definedName name="SD_4270x1_4371x1_4546x1_43_S_0" localSheetId="30">Mapping!$I$155</definedName>
    <definedName name="SD_4270x1_4371x1_4546x1_45_S_0" localSheetId="30">Mapping!$I$175</definedName>
    <definedName name="SD_4270x1_4371x1_4546x1_46_S_0" localSheetId="30">Mapping!$I$161</definedName>
    <definedName name="SD_4270x1_4371x1_4546x1_47_S_0" localSheetId="30">Mapping!$I$160</definedName>
    <definedName name="SD_4270x1_4371x1_4546x1_63_S_0" localSheetId="30">Mapping!$I$162</definedName>
    <definedName name="SD_4270x1_4371x1_4546x1_64_S_0" localSheetId="30">Mapping!$I$163</definedName>
    <definedName name="SD_4270x1_4371x1_4546x1_65_S_0" localSheetId="30">Mapping!$I$144</definedName>
    <definedName name="SD_4270x1_4371x1_4546x1_66_S_0" localSheetId="30">Mapping!$I$150</definedName>
    <definedName name="SD_4270x1_4371x1_4546x1_67_S_0" localSheetId="30">Mapping!$I$158</definedName>
    <definedName name="SD_4270x1_4371x1_4546x1_68_S_0" localSheetId="30">Mapping!$I$164</definedName>
    <definedName name="SD_4270x1_4371x1_4546x1_69_S_0" localSheetId="30">Mapping!$I$170</definedName>
    <definedName name="SD_4270x1_4371x1_4546x1_70_S_0" localSheetId="30">Mapping!$I$156</definedName>
    <definedName name="SD_4270x1_4371x1_4546x1_71_S_0" localSheetId="30">Mapping!$I$157</definedName>
    <definedName name="SD_4270x1_4371x1_4546x1_72_S_0" localSheetId="30">Mapping!$I$167</definedName>
    <definedName name="SD_4270x1_4371x1_4546x1_73_S_0" localSheetId="30">Mapping!$I$168</definedName>
    <definedName name="SD_4270x1_4371x1_4546x1_74_S_0" localSheetId="30">Mapping!$I$169</definedName>
    <definedName name="SD_4270x1_4371x1_4546x1_75_S_0" localSheetId="30">Mapping!$I$172</definedName>
    <definedName name="SD_4270x1_4371x1_4546x1_76_S_0" localSheetId="30">Mapping!$I$173</definedName>
    <definedName name="SD_4270x1_4371x1_4546x1_87_S_0" localSheetId="30">Mapping!$I$137</definedName>
    <definedName name="SD_4270x1_4371x1_4546x1_9_S_0" localSheetId="30">Mapping!$I$134</definedName>
    <definedName name="SD_4270x1_4371x1_4552x1_10_S_0" localSheetId="30">Mapping!$H$135</definedName>
    <definedName name="SD_4270x1_4371x1_4552x1_22_S_0" localSheetId="30">Mapping!$H$136</definedName>
    <definedName name="SD_4270x1_4371x1_4552x1_23_S_0" localSheetId="30">Mapping!$H$138</definedName>
    <definedName name="SD_4270x1_4371x1_4552x1_27_S_0" localSheetId="30">Mapping!$H$146</definedName>
    <definedName name="SD_4270x1_4371x1_4552x1_28_S_0" localSheetId="30">Mapping!$H$147</definedName>
    <definedName name="SD_4270x1_4371x1_4552x1_29_S_0" localSheetId="30">Mapping!$H$142</definedName>
    <definedName name="SD_4270x1_4371x1_4552x1_30_S_0" localSheetId="30">Mapping!$H$143</definedName>
    <definedName name="SD_4270x1_4371x1_4552x1_31_S_0" localSheetId="30">Mapping!$H$141</definedName>
    <definedName name="SD_4270x1_4371x1_4552x1_32_S_0" localSheetId="30">Mapping!$H$140</definedName>
    <definedName name="SD_4270x1_4371x1_4552x1_33_S_0" localSheetId="30">Mapping!$H$139</definedName>
    <definedName name="SD_4270x1_4371x1_4552x1_34_S_0" localSheetId="30">Mapping!$H$148</definedName>
    <definedName name="SD_4270x1_4371x1_4552x1_35_S_0" localSheetId="30">Mapping!$H$149</definedName>
    <definedName name="SD_4270x1_4371x1_4552x1_38_S_0" localSheetId="30">Mapping!$H$154</definedName>
    <definedName name="SD_4270x1_4371x1_4552x1_40_S_0" localSheetId="30">Mapping!$H$153</definedName>
    <definedName name="SD_4270x1_4371x1_4552x1_41_S_0" localSheetId="30">Mapping!$H$152</definedName>
    <definedName name="SD_4270x1_4371x1_4552x1_42_S_0" localSheetId="30">Mapping!$H$166</definedName>
    <definedName name="SD_4270x1_4371x1_4552x1_43_S_0" localSheetId="30">Mapping!$H$155</definedName>
    <definedName name="SD_4270x1_4371x1_4552x1_45_S_0" localSheetId="30">Mapping!$H$175</definedName>
    <definedName name="SD_4270x1_4371x1_4552x1_46_S_0" localSheetId="30">Mapping!$H$161</definedName>
    <definedName name="SD_4270x1_4371x1_4552x1_47_S_0" localSheetId="30">Mapping!$H$160</definedName>
    <definedName name="SD_4270x1_4371x1_4552x1_63_S_0" localSheetId="30">Mapping!$H$162</definedName>
    <definedName name="SD_4270x1_4371x1_4552x1_64_S_0" localSheetId="30">Mapping!$H$163</definedName>
    <definedName name="SD_4270x1_4371x1_4552x1_65_S_0" localSheetId="30">Mapping!$H$144</definedName>
    <definedName name="SD_4270x1_4371x1_4552x1_66_S_0" localSheetId="30">Mapping!$H$150</definedName>
    <definedName name="SD_4270x1_4371x1_4552x1_67_S_0" localSheetId="30">Mapping!$H$158</definedName>
    <definedName name="SD_4270x1_4371x1_4552x1_68_S_0" localSheetId="30">Mapping!$H$164</definedName>
    <definedName name="SD_4270x1_4371x1_4552x1_69_S_0" localSheetId="30">Mapping!$H$170</definedName>
    <definedName name="SD_4270x1_4371x1_4552x1_70_S_0" localSheetId="30">Mapping!$H$156</definedName>
    <definedName name="SD_4270x1_4371x1_4552x1_71_S_0" localSheetId="30">Mapping!$H$157</definedName>
    <definedName name="SD_4270x1_4371x1_4552x1_72_S_0" localSheetId="30">Mapping!$H$167</definedName>
    <definedName name="SD_4270x1_4371x1_4552x1_73_S_0" localSheetId="30">Mapping!$H$168</definedName>
    <definedName name="SD_4270x1_4371x1_4552x1_74_S_0" localSheetId="30">Mapping!$H$169</definedName>
    <definedName name="SD_4270x1_4371x1_4552x1_75_S_0" localSheetId="30">Mapping!$H$172</definedName>
    <definedName name="SD_4270x1_4371x1_4552x1_76_S_0" localSheetId="30">Mapping!$H$173</definedName>
    <definedName name="SD_4270x1_4371x1_4552x1_87_S_0" localSheetId="30">Mapping!$H$137</definedName>
    <definedName name="SD_4270x1_4371x1_4552x1_9_S_0" localSheetId="30">Mapping!$H$134</definedName>
    <definedName name="SD_4270x1_4371x1_4566x1_11_S_0" localSheetId="30">Mapping!$Z$183</definedName>
    <definedName name="SD_4270x1_4371x1_4566x1_13_S_0" localSheetId="30">Mapping!$Y$183</definedName>
    <definedName name="SD_4270x1_4371x1_4566x1_4_S_1" localSheetId="30">Mapping!$W$183</definedName>
    <definedName name="SD_4270x1_4371x1_4566x1_6_S_0" localSheetId="30">Mapping!$V$183</definedName>
    <definedName name="SD_4270x1_4371x1_4566x1_9_S_0" localSheetId="30">Mapping!$X$183</definedName>
    <definedName name="SD_4270x1_4371x1_4566x10_11_S_0" localSheetId="30">Mapping!$Z$192</definedName>
    <definedName name="SD_4270x1_4371x1_4566x10_13_S_0" localSheetId="30">Mapping!$Y$192</definedName>
    <definedName name="SD_4270x1_4371x1_4566x10_4_S_1" localSheetId="30">Mapping!$W$192</definedName>
    <definedName name="SD_4270x1_4371x1_4566x10_6_S_0" localSheetId="30">Mapping!$V$192</definedName>
    <definedName name="SD_4270x1_4371x1_4566x10_9_S_0" localSheetId="30">Mapping!$X$192</definedName>
    <definedName name="SD_4270x1_4371x1_4566x11_11_S_0" localSheetId="30">Mapping!$Z$193</definedName>
    <definedName name="SD_4270x1_4371x1_4566x11_13_S_0" localSheetId="30">Mapping!$Y$193</definedName>
    <definedName name="SD_4270x1_4371x1_4566x11_4_S_1" localSheetId="30">Mapping!$W$193</definedName>
    <definedName name="SD_4270x1_4371x1_4566x11_6_S_0" localSheetId="30">Mapping!$V$193</definedName>
    <definedName name="SD_4270x1_4371x1_4566x11_9_S_0" localSheetId="30">Mapping!$X$193</definedName>
    <definedName name="SD_4270x1_4371x1_4566x12_11_S_0" localSheetId="30">Mapping!$Z$194</definedName>
    <definedName name="SD_4270x1_4371x1_4566x12_13_S_0" localSheetId="30">Mapping!$Y$194</definedName>
    <definedName name="SD_4270x1_4371x1_4566x12_4_S_1" localSheetId="30">Mapping!$W$194</definedName>
    <definedName name="SD_4270x1_4371x1_4566x12_6_S_0" localSheetId="30">Mapping!$V$194</definedName>
    <definedName name="SD_4270x1_4371x1_4566x12_9_S_0" localSheetId="30">Mapping!$X$194</definedName>
    <definedName name="SD_4270x1_4371x1_4566x13_11_S_0" localSheetId="30">Mapping!$Z$195</definedName>
    <definedName name="SD_4270x1_4371x1_4566x13_13_S_0" localSheetId="30">Mapping!$Y$195</definedName>
    <definedName name="SD_4270x1_4371x1_4566x13_4_S_1" localSheetId="30">Mapping!$W$195</definedName>
    <definedName name="SD_4270x1_4371x1_4566x13_6_S_0" localSheetId="30">Mapping!$V$195</definedName>
    <definedName name="SD_4270x1_4371x1_4566x13_9_S_0" localSheetId="30">Mapping!$X$195</definedName>
    <definedName name="SD_4270x1_4371x1_4566x14_11_S_0" localSheetId="30">Mapping!$Z$196</definedName>
    <definedName name="SD_4270x1_4371x1_4566x14_13_S_0" localSheetId="30">Mapping!$Y$196</definedName>
    <definedName name="SD_4270x1_4371x1_4566x14_4_S_1" localSheetId="30">Mapping!$W$196</definedName>
    <definedName name="SD_4270x1_4371x1_4566x14_6_S_0" localSheetId="30">Mapping!$V$196</definedName>
    <definedName name="SD_4270x1_4371x1_4566x14_9_S_0" localSheetId="30">Mapping!$X$196</definedName>
    <definedName name="SD_4270x1_4371x1_4566x15_11_S_0" localSheetId="30">Mapping!$Z$197</definedName>
    <definedName name="SD_4270x1_4371x1_4566x15_13_S_0" localSheetId="30">Mapping!$Y$197</definedName>
    <definedName name="SD_4270x1_4371x1_4566x15_4_S_1" localSheetId="30">Mapping!$W$197</definedName>
    <definedName name="SD_4270x1_4371x1_4566x15_6_S_0" localSheetId="30">Mapping!$V$197</definedName>
    <definedName name="SD_4270x1_4371x1_4566x15_9_S_0" localSheetId="30">Mapping!$X$197</definedName>
    <definedName name="SD_4270x1_4371x1_4566x16_11_S_0" localSheetId="30">Mapping!$Z$198</definedName>
    <definedName name="SD_4270x1_4371x1_4566x16_13_S_0" localSheetId="30">Mapping!$Y$198</definedName>
    <definedName name="SD_4270x1_4371x1_4566x16_4_S_1" localSheetId="30">Mapping!$W$198</definedName>
    <definedName name="SD_4270x1_4371x1_4566x16_6_S_0" localSheetId="30">Mapping!$V$198</definedName>
    <definedName name="SD_4270x1_4371x1_4566x16_9_S_0" localSheetId="30">Mapping!$X$198</definedName>
    <definedName name="SD_4270x1_4371x1_4566x17_11_S_0" localSheetId="30">Mapping!$Z$199</definedName>
    <definedName name="SD_4270x1_4371x1_4566x17_13_S_0" localSheetId="30">Mapping!$Y$199</definedName>
    <definedName name="SD_4270x1_4371x1_4566x17_4_S_1" localSheetId="30">Mapping!$W$199</definedName>
    <definedName name="SD_4270x1_4371x1_4566x17_6_S_0" localSheetId="30">Mapping!$V$199</definedName>
    <definedName name="SD_4270x1_4371x1_4566x17_9_S_0" localSheetId="30">Mapping!$X$199</definedName>
    <definedName name="SD_4270x1_4371x1_4566x18_11_S_0" localSheetId="30">Mapping!$Z$200</definedName>
    <definedName name="SD_4270x1_4371x1_4566x18_13_S_0" localSheetId="30">Mapping!$Y$200</definedName>
    <definedName name="SD_4270x1_4371x1_4566x18_4_S_1" localSheetId="30">Mapping!$W$200</definedName>
    <definedName name="SD_4270x1_4371x1_4566x18_6_S_0" localSheetId="30">Mapping!$V$200</definedName>
    <definedName name="SD_4270x1_4371x1_4566x18_9_S_0" localSheetId="30">Mapping!$X$200</definedName>
    <definedName name="SD_4270x1_4371x1_4566x19_11_S_0" localSheetId="30">Mapping!$Z$201</definedName>
    <definedName name="SD_4270x1_4371x1_4566x19_13_S_0" localSheetId="30">Mapping!$Y$201</definedName>
    <definedName name="SD_4270x1_4371x1_4566x19_4_S_1" localSheetId="30">Mapping!$W$201</definedName>
    <definedName name="SD_4270x1_4371x1_4566x19_6_S_0" localSheetId="30">Mapping!$V$201</definedName>
    <definedName name="SD_4270x1_4371x1_4566x19_9_S_0" localSheetId="30">Mapping!$X$201</definedName>
    <definedName name="SD_4270x1_4371x1_4566x2_11_S_0" localSheetId="30">Mapping!$Z$184</definedName>
    <definedName name="SD_4270x1_4371x1_4566x2_13_S_0" localSheetId="30">Mapping!$Y$184</definedName>
    <definedName name="SD_4270x1_4371x1_4566x2_4_S_1" localSheetId="30">Mapping!$W$184</definedName>
    <definedName name="SD_4270x1_4371x1_4566x2_6_S_0" localSheetId="30">Mapping!$V$184</definedName>
    <definedName name="SD_4270x1_4371x1_4566x2_9_S_0" localSheetId="30">Mapping!$X$184</definedName>
    <definedName name="SD_4270x1_4371x1_4566x20_11_S_0" localSheetId="30">Mapping!$Z$202</definedName>
    <definedName name="SD_4270x1_4371x1_4566x20_13_S_0" localSheetId="30">Mapping!$Y$202</definedName>
    <definedName name="SD_4270x1_4371x1_4566x20_4_S_1" localSheetId="30">Mapping!$W$202</definedName>
    <definedName name="SD_4270x1_4371x1_4566x20_6_S_0" localSheetId="30">Mapping!$V$202</definedName>
    <definedName name="SD_4270x1_4371x1_4566x20_9_S_0" localSheetId="30">Mapping!$X$202</definedName>
    <definedName name="SD_4270x1_4371x1_4566x21_11_S_0" localSheetId="30">Mapping!$Z$203</definedName>
    <definedName name="SD_4270x1_4371x1_4566x21_13_S_0" localSheetId="30">Mapping!$Y$203</definedName>
    <definedName name="SD_4270x1_4371x1_4566x21_4_S_1" localSheetId="30">Mapping!$W$203</definedName>
    <definedName name="SD_4270x1_4371x1_4566x21_6_S_0" localSheetId="30">Mapping!$V$203</definedName>
    <definedName name="SD_4270x1_4371x1_4566x21_9_S_0" localSheetId="30">Mapping!$X$203</definedName>
    <definedName name="SD_4270x1_4371x1_4566x3_11_S_0" localSheetId="30">Mapping!$Z$185</definedName>
    <definedName name="SD_4270x1_4371x1_4566x3_13_S_0" localSheetId="30">Mapping!$Y$185</definedName>
    <definedName name="SD_4270x1_4371x1_4566x3_4_S_1" localSheetId="30">Mapping!$W$185</definedName>
    <definedName name="SD_4270x1_4371x1_4566x3_6_S_0" localSheetId="30">Mapping!$V$185</definedName>
    <definedName name="SD_4270x1_4371x1_4566x3_9_S_0" localSheetId="30">Mapping!$X$185</definedName>
    <definedName name="SD_4270x1_4371x1_4566x4_11_S_0" localSheetId="30">Mapping!$Z$186</definedName>
    <definedName name="SD_4270x1_4371x1_4566x4_13_S_0" localSheetId="30">Mapping!$Y$186</definedName>
    <definedName name="SD_4270x1_4371x1_4566x4_4_S_1" localSheetId="30">Mapping!$W$186</definedName>
    <definedName name="SD_4270x1_4371x1_4566x4_6_S_0" localSheetId="30">Mapping!$V$186</definedName>
    <definedName name="SD_4270x1_4371x1_4566x4_9_S_0" localSheetId="30">Mapping!$X$186</definedName>
    <definedName name="SD_4270x1_4371x1_4566x5_11_S_0" localSheetId="30">Mapping!$Z$187</definedName>
    <definedName name="SD_4270x1_4371x1_4566x5_13_S_0" localSheetId="30">Mapping!$Y$187</definedName>
    <definedName name="SD_4270x1_4371x1_4566x5_4_S_1" localSheetId="30">Mapping!$W$187</definedName>
    <definedName name="SD_4270x1_4371x1_4566x5_6_S_0" localSheetId="30">Mapping!$V$187</definedName>
    <definedName name="SD_4270x1_4371x1_4566x5_9_S_0" localSheetId="30">Mapping!$X$187</definedName>
    <definedName name="SD_4270x1_4371x1_4566x6_11_S_0" localSheetId="30">Mapping!$Z$188</definedName>
    <definedName name="SD_4270x1_4371x1_4566x6_13_S_0" localSheetId="30">Mapping!$Y$188</definedName>
    <definedName name="SD_4270x1_4371x1_4566x6_4_S_1" localSheetId="30">Mapping!$W$188</definedName>
    <definedName name="SD_4270x1_4371x1_4566x6_6_S_0" localSheetId="30">Mapping!$V$188</definedName>
    <definedName name="SD_4270x1_4371x1_4566x6_9_S_0" localSheetId="30">Mapping!$X$188</definedName>
    <definedName name="SD_4270x1_4371x1_4566x7_11_S_0" localSheetId="30">Mapping!$Z$189</definedName>
    <definedName name="SD_4270x1_4371x1_4566x7_13_S_0" localSheetId="30">Mapping!$Y$189</definedName>
    <definedName name="SD_4270x1_4371x1_4566x7_4_S_1" localSheetId="30">Mapping!$W$189</definedName>
    <definedName name="SD_4270x1_4371x1_4566x7_6_S_0" localSheetId="30">Mapping!$V$189</definedName>
    <definedName name="SD_4270x1_4371x1_4566x7_9_S_0" localSheetId="30">Mapping!$X$189</definedName>
    <definedName name="SD_4270x1_4371x1_4566x8_11_S_0" localSheetId="30">Mapping!$Z$190</definedName>
    <definedName name="SD_4270x1_4371x1_4566x8_13_S_0" localSheetId="30">Mapping!$Y$190</definedName>
    <definedName name="SD_4270x1_4371x1_4566x8_4_S_1" localSheetId="30">Mapping!$W$190</definedName>
    <definedName name="SD_4270x1_4371x1_4566x8_6_S_0" localSheetId="30">Mapping!$V$190</definedName>
    <definedName name="SD_4270x1_4371x1_4566x8_9_S_0" localSheetId="30">Mapping!$X$190</definedName>
    <definedName name="SD_4270x1_4371x1_4566x9_11_S_0" localSheetId="30">Mapping!$Z$191</definedName>
    <definedName name="SD_4270x1_4371x1_4566x9_13_S_0" localSheetId="30">Mapping!$Y$191</definedName>
    <definedName name="SD_4270x1_4371x1_4566x9_4_S_1" localSheetId="30">Mapping!$W$191</definedName>
    <definedName name="SD_4270x1_4371x1_4566x9_6_S_0" localSheetId="30">Mapping!$V$191</definedName>
    <definedName name="SD_4270x1_4371x1_4566x9_9_S_0" localSheetId="30">Mapping!$X$191</definedName>
    <definedName name="SD_4270x1_4371x1_4594x1_10_S_0" localSheetId="30">Mapping!$K$135</definedName>
    <definedName name="SD_4270x1_4371x1_4594x1_22_S_0" localSheetId="30">Mapping!$K$136</definedName>
    <definedName name="SD_4270x1_4371x1_4594x1_23_S_0" localSheetId="30">Mapping!$K$138</definedName>
    <definedName name="SD_4270x1_4371x1_4594x1_27_S_0" localSheetId="30">Mapping!$K$146</definedName>
    <definedName name="SD_4270x1_4371x1_4594x1_28_S_0" localSheetId="30">Mapping!$K$147</definedName>
    <definedName name="SD_4270x1_4371x1_4594x1_29_S_0" localSheetId="30">Mapping!$K$142</definedName>
    <definedName name="SD_4270x1_4371x1_4594x1_30_S_0" localSheetId="30">Mapping!$K$143</definedName>
    <definedName name="SD_4270x1_4371x1_4594x1_31_S_0" localSheetId="30">Mapping!$K$141</definedName>
    <definedName name="SD_4270x1_4371x1_4594x1_32_S_0" localSheetId="30">Mapping!$K$140</definedName>
    <definedName name="SD_4270x1_4371x1_4594x1_33_S_0" localSheetId="30">Mapping!$K$139</definedName>
    <definedName name="SD_4270x1_4371x1_4594x1_34_S_0" localSheetId="30">Mapping!$K$148</definedName>
    <definedName name="SD_4270x1_4371x1_4594x1_35_S_0" localSheetId="30">Mapping!$K$149</definedName>
    <definedName name="SD_4270x1_4371x1_4594x1_38_S_0" localSheetId="30">Mapping!$K$154</definedName>
    <definedName name="SD_4270x1_4371x1_4594x1_40_S_0" localSheetId="30">Mapping!$K$153</definedName>
    <definedName name="SD_4270x1_4371x1_4594x1_41_S_0" localSheetId="30">Mapping!$K$152</definedName>
    <definedName name="SD_4270x1_4371x1_4594x1_42_S_0" localSheetId="30">Mapping!$K$166</definedName>
    <definedName name="SD_4270x1_4371x1_4594x1_43_S_0" localSheetId="30">Mapping!$K$155</definedName>
    <definedName name="SD_4270x1_4371x1_4594x1_45_S_0" localSheetId="30">Mapping!$K$175</definedName>
    <definedName name="SD_4270x1_4371x1_4594x1_46_S_0" localSheetId="30">Mapping!$K$161</definedName>
    <definedName name="SD_4270x1_4371x1_4594x1_47_S_0" localSheetId="30">Mapping!$K$160</definedName>
    <definedName name="SD_4270x1_4371x1_4594x1_63_S_0" localSheetId="30">Mapping!$K$162</definedName>
    <definedName name="SD_4270x1_4371x1_4594x1_64_S_0" localSheetId="30">Mapping!$K$163</definedName>
    <definedName name="SD_4270x1_4371x1_4594x1_65_S_0" localSheetId="30">Mapping!$K$144</definedName>
    <definedName name="SD_4270x1_4371x1_4594x1_66_S_0" localSheetId="30">Mapping!$K$150</definedName>
    <definedName name="SD_4270x1_4371x1_4594x1_67_S_0" localSheetId="30">Mapping!$K$158</definedName>
    <definedName name="SD_4270x1_4371x1_4594x1_68_S_0" localSheetId="30">Mapping!$K$164</definedName>
    <definedName name="SD_4270x1_4371x1_4594x1_69_S_0" localSheetId="30">Mapping!$K$170</definedName>
    <definedName name="SD_4270x1_4371x1_4594x1_70_S_0" localSheetId="30">Mapping!$K$156</definedName>
    <definedName name="SD_4270x1_4371x1_4594x1_71_S_0" localSheetId="30">Mapping!$K$157</definedName>
    <definedName name="SD_4270x1_4371x1_4594x1_72_S_0" localSheetId="30">Mapping!$K$167</definedName>
    <definedName name="SD_4270x1_4371x1_4594x1_73_S_0" localSheetId="30">Mapping!$K$168</definedName>
    <definedName name="SD_4270x1_4371x1_4594x1_74_S_0" localSheetId="30">Mapping!$K$169</definedName>
    <definedName name="SD_4270x1_4371x1_4594x1_75_S_0" localSheetId="30">Mapping!$K$172</definedName>
    <definedName name="SD_4270x1_4371x1_4594x1_76_S_0" localSheetId="30">Mapping!$K$173</definedName>
    <definedName name="SD_4270x1_4371x1_4594x1_87_S_0" localSheetId="30">Mapping!$K$137</definedName>
    <definedName name="SD_4270x1_4371x1_4594x1_9_S_0" localSheetId="30">Mapping!$K$134</definedName>
    <definedName name="SD_4270x1_4371x1_4600x1_10_S_0" localSheetId="30">Mapping!$J$135</definedName>
    <definedName name="SD_4270x1_4371x1_4600x1_22_S_0" localSheetId="30">Mapping!$J$136</definedName>
    <definedName name="SD_4270x1_4371x1_4600x1_23_S_0" localSheetId="30">Mapping!$J$138</definedName>
    <definedName name="SD_4270x1_4371x1_4600x1_27_S_0" localSheetId="30">Mapping!$J$146</definedName>
    <definedName name="SD_4270x1_4371x1_4600x1_28_S_0" localSheetId="30">Mapping!$J$147</definedName>
    <definedName name="SD_4270x1_4371x1_4600x1_29_S_0" localSheetId="30">Mapping!$J$142</definedName>
    <definedName name="SD_4270x1_4371x1_4600x1_30_S_0" localSheetId="30">Mapping!$J$143</definedName>
    <definedName name="SD_4270x1_4371x1_4600x1_31_S_0" localSheetId="30">Mapping!$J$141</definedName>
    <definedName name="SD_4270x1_4371x1_4600x1_32_S_0" localSheetId="30">Mapping!$J$140</definedName>
    <definedName name="SD_4270x1_4371x1_4600x1_33_S_0" localSheetId="30">Mapping!$J$139</definedName>
    <definedName name="SD_4270x1_4371x1_4600x1_34_S_0" localSheetId="30">Mapping!$J$148</definedName>
    <definedName name="SD_4270x1_4371x1_4600x1_35_S_0" localSheetId="30">Mapping!$J$149</definedName>
    <definedName name="SD_4270x1_4371x1_4600x1_38_S_0" localSheetId="30">Mapping!$J$154</definedName>
    <definedName name="SD_4270x1_4371x1_4600x1_40_S_0" localSheetId="30">Mapping!$J$153</definedName>
    <definedName name="SD_4270x1_4371x1_4600x1_41_S_0" localSheetId="30">Mapping!$J$152</definedName>
    <definedName name="SD_4270x1_4371x1_4600x1_42_S_0" localSheetId="30">Mapping!$J$166</definedName>
    <definedName name="SD_4270x1_4371x1_4600x1_43_S_0" localSheetId="30">Mapping!$J$155</definedName>
    <definedName name="SD_4270x1_4371x1_4600x1_45_S_0" localSheetId="30">Mapping!$J$175</definedName>
    <definedName name="SD_4270x1_4371x1_4600x1_46_S_0" localSheetId="30">Mapping!$J$161</definedName>
    <definedName name="SD_4270x1_4371x1_4600x1_47_S_0" localSheetId="30">Mapping!$J$160</definedName>
    <definedName name="SD_4270x1_4371x1_4600x1_63_S_0" localSheetId="30">Mapping!$J$162</definedName>
    <definedName name="SD_4270x1_4371x1_4600x1_64_S_0" localSheetId="30">Mapping!$J$163</definedName>
    <definedName name="SD_4270x1_4371x1_4600x1_65_S_0" localSheetId="30">Mapping!$J$144</definedName>
    <definedName name="SD_4270x1_4371x1_4600x1_66_S_0" localSheetId="30">Mapping!$J$150</definedName>
    <definedName name="SD_4270x1_4371x1_4600x1_67_S_0" localSheetId="30">Mapping!$J$158</definedName>
    <definedName name="SD_4270x1_4371x1_4600x1_68_S_0" localSheetId="30">Mapping!$J$164</definedName>
    <definedName name="SD_4270x1_4371x1_4600x1_69_S_0" localSheetId="30">Mapping!$J$170</definedName>
    <definedName name="SD_4270x1_4371x1_4600x1_70_S_0" localSheetId="30">Mapping!$J$156</definedName>
    <definedName name="SD_4270x1_4371x1_4600x1_71_S_0" localSheetId="30">Mapping!$J$157</definedName>
    <definedName name="SD_4270x1_4371x1_4600x1_72_S_0" localSheetId="30">Mapping!$J$167</definedName>
    <definedName name="SD_4270x1_4371x1_4600x1_73_S_0" localSheetId="30">Mapping!$J$168</definedName>
    <definedName name="SD_4270x1_4371x1_4600x1_74_S_0" localSheetId="30">Mapping!$J$169</definedName>
    <definedName name="SD_4270x1_4371x1_4600x1_75_S_0" localSheetId="30">Mapping!$J$172</definedName>
    <definedName name="SD_4270x1_4371x1_4600x1_76_S_0" localSheetId="30">Mapping!$J$173</definedName>
    <definedName name="SD_4270x1_4371x1_4600x1_87_S_0" localSheetId="30">Mapping!$J$137</definedName>
    <definedName name="SD_4270x1_4371x1_4600x1_9_S_0" localSheetId="30">Mapping!$J$134</definedName>
    <definedName name="SD_4270x1_4371x1_4606x1_5_S_1" localSheetId="30">Mapping!$L$232</definedName>
    <definedName name="SD_4270x1_4371x1_4606x1_6_S_1" localSheetId="30">Mapping!$M$232</definedName>
    <definedName name="SD_4270x1_4371x1_4606x1_8_S_0" localSheetId="30">Mapping!$N$232</definedName>
    <definedName name="SD_4270x1_4371x1_4606x1_9_S_0" localSheetId="30">Mapping!$O$232</definedName>
    <definedName name="SD_4270x1_4371x1_4606x10_5_S_1" localSheetId="30">Mapping!$L$241</definedName>
    <definedName name="SD_4270x1_4371x1_4606x10_6_S_1" localSheetId="30">Mapping!$M$241</definedName>
    <definedName name="SD_4270x1_4371x1_4606x10_8_S_0" localSheetId="30">Mapping!$N$241</definedName>
    <definedName name="SD_4270x1_4371x1_4606x10_9_S_0" localSheetId="30">Mapping!$O$241</definedName>
    <definedName name="SD_4270x1_4371x1_4606x11_5_S_1" localSheetId="30">Mapping!$L$242</definedName>
    <definedName name="SD_4270x1_4371x1_4606x11_6_S_1" localSheetId="30">Mapping!$M$242</definedName>
    <definedName name="SD_4270x1_4371x1_4606x11_8_S_0" localSheetId="30">Mapping!$N$242</definedName>
    <definedName name="SD_4270x1_4371x1_4606x11_9_S_0" localSheetId="30">Mapping!$O$242</definedName>
    <definedName name="SD_4270x1_4371x1_4606x12_5_S_1" localSheetId="30">Mapping!$L$243</definedName>
    <definedName name="SD_4270x1_4371x1_4606x12_6_S_1" localSheetId="30">Mapping!$M$243</definedName>
    <definedName name="SD_4270x1_4371x1_4606x12_8_S_0" localSheetId="30">Mapping!$N$243</definedName>
    <definedName name="SD_4270x1_4371x1_4606x12_9_S_0" localSheetId="30">Mapping!$O$243</definedName>
    <definedName name="SD_4270x1_4371x1_4606x13_5_S_1" localSheetId="30">Mapping!$L$244</definedName>
    <definedName name="SD_4270x1_4371x1_4606x13_6_S_1" localSheetId="30">Mapping!$M$244</definedName>
    <definedName name="SD_4270x1_4371x1_4606x13_8_S_0" localSheetId="30">Mapping!$N$244</definedName>
    <definedName name="SD_4270x1_4371x1_4606x13_9_S_0" localSheetId="30">Mapping!$O$244</definedName>
    <definedName name="SD_4270x1_4371x1_4606x14_5_S_1" localSheetId="30">Mapping!$L$245</definedName>
    <definedName name="SD_4270x1_4371x1_4606x14_6_S_1" localSheetId="30">Mapping!$M$245</definedName>
    <definedName name="SD_4270x1_4371x1_4606x14_8_S_0" localSheetId="30">Mapping!$N$245</definedName>
    <definedName name="SD_4270x1_4371x1_4606x14_9_S_0" localSheetId="30">Mapping!$O$245</definedName>
    <definedName name="SD_4270x1_4371x1_4606x15_5_S_1" localSheetId="30">Mapping!$L$246</definedName>
    <definedName name="SD_4270x1_4371x1_4606x15_6_S_1" localSheetId="30">Mapping!$M$246</definedName>
    <definedName name="SD_4270x1_4371x1_4606x15_8_S_0" localSheetId="30">Mapping!$N$246</definedName>
    <definedName name="SD_4270x1_4371x1_4606x15_9_S_0" localSheetId="30">Mapping!$O$246</definedName>
    <definedName name="SD_4270x1_4371x1_4606x16_5_S_1" localSheetId="30">Mapping!$L$247</definedName>
    <definedName name="SD_4270x1_4371x1_4606x16_6_S_1" localSheetId="30">Mapping!$M$247</definedName>
    <definedName name="SD_4270x1_4371x1_4606x16_8_S_0" localSheetId="30">Mapping!$N$247</definedName>
    <definedName name="SD_4270x1_4371x1_4606x16_9_S_0" localSheetId="30">Mapping!$O$247</definedName>
    <definedName name="SD_4270x1_4371x1_4606x17_5_S_1" localSheetId="30">Mapping!$L$248</definedName>
    <definedName name="SD_4270x1_4371x1_4606x17_6_S_1" localSheetId="30">Mapping!$M$248</definedName>
    <definedName name="SD_4270x1_4371x1_4606x17_8_S_0" localSheetId="30">Mapping!$N$248</definedName>
    <definedName name="SD_4270x1_4371x1_4606x17_9_S_0" localSheetId="30">Mapping!$O$248</definedName>
    <definedName name="SD_4270x1_4371x1_4606x18_5_S_1" localSheetId="30">Mapping!$L$249</definedName>
    <definedName name="SD_4270x1_4371x1_4606x18_6_S_1" localSheetId="30">Mapping!$M$249</definedName>
    <definedName name="SD_4270x1_4371x1_4606x18_8_S_0" localSheetId="30">Mapping!$N$249</definedName>
    <definedName name="SD_4270x1_4371x1_4606x18_9_S_0" localSheetId="30">Mapping!$O$249</definedName>
    <definedName name="SD_4270x1_4371x1_4606x19_5_S_1" localSheetId="30">Mapping!$L$250</definedName>
    <definedName name="SD_4270x1_4371x1_4606x19_6_S_1" localSheetId="30">Mapping!$M$250</definedName>
    <definedName name="SD_4270x1_4371x1_4606x19_8_S_0" localSheetId="30">Mapping!$N$250</definedName>
    <definedName name="SD_4270x1_4371x1_4606x19_9_S_0" localSheetId="30">Mapping!$O$250</definedName>
    <definedName name="SD_4270x1_4371x1_4606x2_5_S_1" localSheetId="30">Mapping!$L$233</definedName>
    <definedName name="SD_4270x1_4371x1_4606x2_6_S_1" localSheetId="30">Mapping!$M$233</definedName>
    <definedName name="SD_4270x1_4371x1_4606x2_8_S_0" localSheetId="30">Mapping!$N$233</definedName>
    <definedName name="SD_4270x1_4371x1_4606x2_9_S_0" localSheetId="30">Mapping!$O$233</definedName>
    <definedName name="SD_4270x1_4371x1_4606x20_5_S_1" localSheetId="30">Mapping!$L$251</definedName>
    <definedName name="SD_4270x1_4371x1_4606x20_6_S_1" localSheetId="30">Mapping!$M$251</definedName>
    <definedName name="SD_4270x1_4371x1_4606x20_8_S_0" localSheetId="30">Mapping!$N$251</definedName>
    <definedName name="SD_4270x1_4371x1_4606x20_9_S_0" localSheetId="30">Mapping!$O$251</definedName>
    <definedName name="SD_4270x1_4371x1_4606x21_5_S_1" localSheetId="30">Mapping!$L$252</definedName>
    <definedName name="SD_4270x1_4371x1_4606x21_6_S_1" localSheetId="30">Mapping!$M$252</definedName>
    <definedName name="SD_4270x1_4371x1_4606x21_8_S_0" localSheetId="30">Mapping!$N$252</definedName>
    <definedName name="SD_4270x1_4371x1_4606x21_9_S_0" localSheetId="30">Mapping!$O$252</definedName>
    <definedName name="SD_4270x1_4371x1_4606x22_5_S_1" localSheetId="30">Mapping!$L$253</definedName>
    <definedName name="SD_4270x1_4371x1_4606x22_6_S_1" localSheetId="30">Mapping!$M$253</definedName>
    <definedName name="SD_4270x1_4371x1_4606x22_8_S_0" localSheetId="30">Mapping!$N$253</definedName>
    <definedName name="SD_4270x1_4371x1_4606x22_9_S_0" localSheetId="30">Mapping!$O$253</definedName>
    <definedName name="SD_4270x1_4371x1_4606x23_5_S_1" localSheetId="30">Mapping!$L$254</definedName>
    <definedName name="SD_4270x1_4371x1_4606x23_6_S_1" localSheetId="30">Mapping!$M$254</definedName>
    <definedName name="SD_4270x1_4371x1_4606x23_8_S_0" localSheetId="30">Mapping!$N$254</definedName>
    <definedName name="SD_4270x1_4371x1_4606x23_9_S_0" localSheetId="30">Mapping!$O$254</definedName>
    <definedName name="SD_4270x1_4371x1_4606x3_5_S_1" localSheetId="30">Mapping!$L$234</definedName>
    <definedName name="SD_4270x1_4371x1_4606x3_6_S_1" localSheetId="30">Mapping!$M$234</definedName>
    <definedName name="SD_4270x1_4371x1_4606x3_8_S_0" localSheetId="30">Mapping!$N$234</definedName>
    <definedName name="SD_4270x1_4371x1_4606x3_9_S_0" localSheetId="30">Mapping!$O$234</definedName>
    <definedName name="SD_4270x1_4371x1_4606x4_5_S_1" localSheetId="30">Mapping!$L$235</definedName>
    <definedName name="SD_4270x1_4371x1_4606x4_6_S_1" localSheetId="30">Mapping!$M$235</definedName>
    <definedName name="SD_4270x1_4371x1_4606x4_8_S_0" localSheetId="30">Mapping!$N$235</definedName>
    <definedName name="SD_4270x1_4371x1_4606x4_9_S_0" localSheetId="30">Mapping!$O$235</definedName>
    <definedName name="SD_4270x1_4371x1_4606x5_5_S_1" localSheetId="30">Mapping!$L$236</definedName>
    <definedName name="SD_4270x1_4371x1_4606x5_6_S_1" localSheetId="30">Mapping!$M$236</definedName>
    <definedName name="SD_4270x1_4371x1_4606x5_8_S_0" localSheetId="30">Mapping!$N$236</definedName>
    <definedName name="SD_4270x1_4371x1_4606x5_9_S_0" localSheetId="30">Mapping!$O$236</definedName>
    <definedName name="SD_4270x1_4371x1_4606x6_5_S_1" localSheetId="30">Mapping!$L$237</definedName>
    <definedName name="SD_4270x1_4371x1_4606x6_6_S_1" localSheetId="30">Mapping!$M$237</definedName>
    <definedName name="SD_4270x1_4371x1_4606x6_8_S_0" localSheetId="30">Mapping!$N$237</definedName>
    <definedName name="SD_4270x1_4371x1_4606x6_9_S_0" localSheetId="30">Mapping!$O$237</definedName>
    <definedName name="SD_4270x1_4371x1_4606x7_5_S_1" localSheetId="30">Mapping!$L$238</definedName>
    <definedName name="SD_4270x1_4371x1_4606x7_6_S_1" localSheetId="30">Mapping!$M$238</definedName>
    <definedName name="SD_4270x1_4371x1_4606x7_8_S_0" localSheetId="30">Mapping!$N$238</definedName>
    <definedName name="SD_4270x1_4371x1_4606x7_9_S_0" localSheetId="30">Mapping!$O$238</definedName>
    <definedName name="SD_4270x1_4371x1_4606x8_5_S_1" localSheetId="30">Mapping!$L$239</definedName>
    <definedName name="SD_4270x1_4371x1_4606x8_6_S_1" localSheetId="30">Mapping!$M$239</definedName>
    <definedName name="SD_4270x1_4371x1_4606x8_8_S_0" localSheetId="30">Mapping!$N$239</definedName>
    <definedName name="SD_4270x1_4371x1_4606x8_9_S_0" localSheetId="30">Mapping!$O$239</definedName>
    <definedName name="SD_4270x1_4371x1_4606x9_5_S_1" localSheetId="30">Mapping!$L$240</definedName>
    <definedName name="SD_4270x1_4371x1_4606x9_6_S_1" localSheetId="30">Mapping!$M$240</definedName>
    <definedName name="SD_4270x1_4371x1_4606x9_8_S_0" localSheetId="30">Mapping!$N$240</definedName>
    <definedName name="SD_4270x1_4371x1_4606x9_9_S_0" localSheetId="30">Mapping!$O$240</definedName>
    <definedName name="SD_4270x1_4371x1_526_S_1" localSheetId="30">Mapping!$M$19</definedName>
    <definedName name="SD_4270x1_4371x1_5315x1_198_S_0" localSheetId="30">Mapping!$L$214</definedName>
    <definedName name="SD_4270x1_4371x1_5315x1_199_S_0" localSheetId="30">Mapping!$M$214</definedName>
    <definedName name="SD_4270x1_4371x1_5315x1_200_S_0" localSheetId="30">Mapping!$L$215</definedName>
    <definedName name="SD_4270x1_4371x1_5315x1_201_S_0" localSheetId="30">Mapping!$M$215</definedName>
    <definedName name="SD_4270x1_4371x1_5315x1_202_S_0" localSheetId="30">Mapping!$L$216</definedName>
    <definedName name="SD_4270x1_4371x1_5315x1_203_S_0" localSheetId="30">Mapping!$M$216</definedName>
    <definedName name="SD_4270x1_4371x1_5315x1_204_S_0" localSheetId="30">Mapping!$L$217</definedName>
    <definedName name="SD_4270x1_4371x1_5315x1_205_S_0" localSheetId="30">Mapping!$M$217</definedName>
    <definedName name="SD_4270x1_4371x1_5315x1_206_S_0" localSheetId="30">Mapping!$L$218</definedName>
    <definedName name="SD_4270x1_4371x1_5315x1_207_S_0" localSheetId="30">Mapping!$M$218</definedName>
    <definedName name="SD_4270x1_4371x1_5315x1_208_S_0" localSheetId="30">Mapping!$L$219</definedName>
    <definedName name="SD_4270x1_4371x1_5315x1_209_S_0" localSheetId="30">Mapping!$M$219</definedName>
    <definedName name="SD_4270x1_8066x1_11_S_0" localSheetId="30">Mapping!$T$44</definedName>
    <definedName name="SD_4270x1_8066x1_13_S_1" localSheetId="30">Mapping!$Q$44</definedName>
    <definedName name="SD_4270x1_8066x1_14_S_0" localSheetId="30">Mapping!$S$44</definedName>
    <definedName name="SD_4270x1_8066x1_15_S_0" localSheetId="30">Mapping!$P$44</definedName>
    <definedName name="SD_4270x1_8066x1_19_S_0" localSheetId="30">Mapping!$R$44</definedName>
    <definedName name="SD_4270x1_8066x1_25_S_1" localSheetId="30">Mapping!$O$44</definedName>
    <definedName name="SD_4270x1_8066x10_13_S_1" localSheetId="30">Mapping!$Q$53</definedName>
    <definedName name="SD_4270x1_8066x10_14_S_0" localSheetId="30">Mapping!$S$53</definedName>
    <definedName name="SD_4270x1_8066x10_15_S_0" localSheetId="30">Mapping!$P$53</definedName>
    <definedName name="SD_4270x1_8066x10_19_S_0" localSheetId="30">Mapping!$R$53</definedName>
    <definedName name="SD_4270x1_8066x10_25_S_1" localSheetId="30">Mapping!$O$53</definedName>
    <definedName name="SD_4270x1_8066x11_13_S_1" localSheetId="30">Mapping!$Q$54</definedName>
    <definedName name="SD_4270x1_8066x11_14_S_0" localSheetId="30">Mapping!$S$54</definedName>
    <definedName name="SD_4270x1_8066x11_15_S_0" localSheetId="30">Mapping!$P$54</definedName>
    <definedName name="SD_4270x1_8066x11_19_S_0" localSheetId="30">Mapping!$R$54</definedName>
    <definedName name="SD_4270x1_8066x11_25_S_1" localSheetId="30">Mapping!$O$54</definedName>
    <definedName name="SD_4270x1_8066x2_13_S_1" localSheetId="30">Mapping!$Q$45</definedName>
    <definedName name="SD_4270x1_8066x2_14_S_0" localSheetId="30">Mapping!$S$45</definedName>
    <definedName name="SD_4270x1_8066x2_15_S_0" localSheetId="30">Mapping!$P$45</definedName>
    <definedName name="SD_4270x1_8066x2_19_S_0" localSheetId="30">Mapping!$R$45</definedName>
    <definedName name="SD_4270x1_8066x2_25_S_1" localSheetId="30">Mapping!$O$45</definedName>
    <definedName name="SD_4270x1_8066x3_13_S_1" localSheetId="30">Mapping!$Q$46</definedName>
    <definedName name="SD_4270x1_8066x3_14_S_0" localSheetId="30">Mapping!$S$46</definedName>
    <definedName name="SD_4270x1_8066x3_15_S_0" localSheetId="30">Mapping!$P$46</definedName>
    <definedName name="SD_4270x1_8066x3_19_S_0" localSheetId="30">Mapping!$R$46</definedName>
    <definedName name="SD_4270x1_8066x3_25_S_1" localSheetId="30">Mapping!$O$46</definedName>
    <definedName name="SD_4270x1_8066x4_13_S_1" localSheetId="30">Mapping!$Q$47</definedName>
    <definedName name="SD_4270x1_8066x4_14_S_0" localSheetId="30">Mapping!$S$47</definedName>
    <definedName name="SD_4270x1_8066x4_15_S_0" localSheetId="30">Mapping!$P$47</definedName>
    <definedName name="SD_4270x1_8066x4_19_S_0" localSheetId="30">Mapping!$R$47</definedName>
    <definedName name="SD_4270x1_8066x4_25_S_1" localSheetId="30">Mapping!$O$47</definedName>
    <definedName name="SD_4270x1_8066x5_13_S_1" localSheetId="30">Mapping!$Q$48</definedName>
    <definedName name="SD_4270x1_8066x5_14_S_0" localSheetId="30">Mapping!$S$48</definedName>
    <definedName name="SD_4270x1_8066x5_15_S_0" localSheetId="30">Mapping!$P$48</definedName>
    <definedName name="SD_4270x1_8066x5_19_S_0" localSheetId="30">Mapping!$R$48</definedName>
    <definedName name="SD_4270x1_8066x5_25_S_1" localSheetId="30">Mapping!$O$48</definedName>
    <definedName name="SD_4270x1_8066x6_13_S_1" localSheetId="30">Mapping!$Q$49</definedName>
    <definedName name="SD_4270x1_8066x6_14_S_0" localSheetId="30">Mapping!$S$49</definedName>
    <definedName name="SD_4270x1_8066x6_15_S_0" localSheetId="30">Mapping!$P$49</definedName>
    <definedName name="SD_4270x1_8066x6_19_S_0" localSheetId="30">Mapping!$R$49</definedName>
    <definedName name="SD_4270x1_8066x6_25_S_1" localSheetId="30">Mapping!$O$49</definedName>
    <definedName name="SD_4270x1_8066x7_13_S_1" localSheetId="30">Mapping!$Q$50</definedName>
    <definedName name="SD_4270x1_8066x7_14_S_0" localSheetId="30">Mapping!$S$50</definedName>
    <definedName name="SD_4270x1_8066x7_15_S_0" localSheetId="30">Mapping!$P$50</definedName>
    <definedName name="SD_4270x1_8066x7_19_S_0" localSheetId="30">Mapping!$R$50</definedName>
    <definedName name="SD_4270x1_8066x7_25_S_1" localSheetId="30">Mapping!$O$50</definedName>
    <definedName name="SD_4270x1_8066x8_13_S_1" localSheetId="30">Mapping!$Q$51</definedName>
    <definedName name="SD_4270x1_8066x8_14_S_0" localSheetId="30">Mapping!$S$51</definedName>
    <definedName name="SD_4270x1_8066x8_15_S_0" localSheetId="30">Mapping!$P$51</definedName>
    <definedName name="SD_4270x1_8066x8_19_S_0" localSheetId="30">Mapping!$R$51</definedName>
    <definedName name="SD_4270x1_8066x8_25_S_1" localSheetId="30">Mapping!$O$51</definedName>
    <definedName name="SD_4270x1_8066x9_13_S_1" localSheetId="30">Mapping!$Q$52</definedName>
    <definedName name="SD_4270x1_8066x9_14_S_0" localSheetId="30">Mapping!$S$52</definedName>
    <definedName name="SD_4270x1_8066x9_15_S_0" localSheetId="30">Mapping!$P$52</definedName>
    <definedName name="SD_4270x1_8066x9_19_S_0" localSheetId="30">Mapping!$R$52</definedName>
    <definedName name="SD_4270x1_8066x9_25_S_1" localSheetId="30">Mapping!$O$52</definedName>
    <definedName name="SD_8055x1_11_S_0" localSheetId="30">Mapping!$M$44</definedName>
    <definedName name="SD_8055x1_13_S_1" localSheetId="30">Mapping!$J$44</definedName>
    <definedName name="SD_8055x1_14_S_0" localSheetId="30">Mapping!$L$44</definedName>
    <definedName name="SD_8055x1_15_S_0" localSheetId="30">Mapping!$I$44</definedName>
    <definedName name="SD_8055x1_19_S_0" localSheetId="30">Mapping!$K$44</definedName>
    <definedName name="SD_8055x1_24_S_1" localSheetId="30">Mapping!$H$44</definedName>
    <definedName name="SD_8055x10_13_S_1" localSheetId="30">Mapping!$J$53</definedName>
    <definedName name="SD_8055x10_14_S_0" localSheetId="30">Mapping!$L$53</definedName>
    <definedName name="SD_8055x10_15_S_0" localSheetId="30">Mapping!$I$53</definedName>
    <definedName name="SD_8055x10_19_S_0" localSheetId="30">Mapping!$K$53</definedName>
    <definedName name="SD_8055x10_24_S_1" localSheetId="30">Mapping!$H$53</definedName>
    <definedName name="SD_8055x11_13_S_1" localSheetId="30">Mapping!$J$54</definedName>
    <definedName name="SD_8055x11_14_S_0" localSheetId="30">Mapping!$L$54</definedName>
    <definedName name="SD_8055x11_15_S_0" localSheetId="30">Mapping!$I$54</definedName>
    <definedName name="SD_8055x11_19_S_0" localSheetId="30">Mapping!$K$54</definedName>
    <definedName name="SD_8055x11_24_S_1" localSheetId="30">Mapping!$H$54</definedName>
    <definedName name="SD_8055x2_13_S_1" localSheetId="30">Mapping!$J$45</definedName>
    <definedName name="SD_8055x2_14_S_0" localSheetId="30">Mapping!$L$45</definedName>
    <definedName name="SD_8055x2_15_S_0" localSheetId="30">Mapping!$I$45</definedName>
    <definedName name="SD_8055x2_19_S_0" localSheetId="30">Mapping!$K$45</definedName>
    <definedName name="SD_8055x2_24_S_1" localSheetId="30">Mapping!$H$45</definedName>
    <definedName name="SD_8055x3_13_S_1" localSheetId="30">Mapping!$J$46</definedName>
    <definedName name="SD_8055x3_14_S_0" localSheetId="30">Mapping!$L$46</definedName>
    <definedName name="SD_8055x3_15_S_0" localSheetId="30">Mapping!$I$46</definedName>
    <definedName name="SD_8055x3_19_S_0" localSheetId="30">Mapping!$K$46</definedName>
    <definedName name="SD_8055x3_24_S_1" localSheetId="30">Mapping!$H$46</definedName>
    <definedName name="SD_8055x4_13_S_1" localSheetId="30">Mapping!$J$47</definedName>
    <definedName name="SD_8055x4_14_S_0" localSheetId="30">Mapping!$L$47</definedName>
    <definedName name="SD_8055x4_15_S_0" localSheetId="30">Mapping!$I$47</definedName>
    <definedName name="SD_8055x4_19_S_0" localSheetId="30">Mapping!$K$47</definedName>
    <definedName name="SD_8055x4_24_S_1" localSheetId="30">Mapping!$H$47</definedName>
    <definedName name="SD_8055x5_13_S_1" localSheetId="30">Mapping!$J$48</definedName>
    <definedName name="SD_8055x5_14_S_0" localSheetId="30">Mapping!$L$48</definedName>
    <definedName name="SD_8055x5_15_S_0" localSheetId="30">Mapping!$I$48</definedName>
    <definedName name="SD_8055x5_19_S_0" localSheetId="30">Mapping!$K$48</definedName>
    <definedName name="SD_8055x5_24_S_1" localSheetId="30">Mapping!$H$48</definedName>
    <definedName name="SD_8055x6_13_S_1" localSheetId="30">Mapping!$J$49</definedName>
    <definedName name="SD_8055x6_14_S_0" localSheetId="30">Mapping!$L$49</definedName>
    <definedName name="SD_8055x6_15_S_0" localSheetId="30">Mapping!$I$49</definedName>
    <definedName name="SD_8055x6_19_S_0" localSheetId="30">Mapping!$K$49</definedName>
    <definedName name="SD_8055x6_24_S_1" localSheetId="30">Mapping!$H$49</definedName>
    <definedName name="SD_8055x7_13_S_1" localSheetId="30">Mapping!$J$50</definedName>
    <definedName name="SD_8055x7_14_S_0" localSheetId="30">Mapping!$L$50</definedName>
    <definedName name="SD_8055x7_15_S_0" localSheetId="30">Mapping!$I$50</definedName>
    <definedName name="SD_8055x7_19_S_0" localSheetId="30">Mapping!$K$50</definedName>
    <definedName name="SD_8055x7_24_S_1" localSheetId="30">Mapping!$H$50</definedName>
    <definedName name="SD_8055x8_13_S_1" localSheetId="30">Mapping!$J$51</definedName>
    <definedName name="SD_8055x8_14_S_0" localSheetId="30">Mapping!$L$51</definedName>
    <definedName name="SD_8055x8_15_S_0" localSheetId="30">Mapping!$I$51</definedName>
    <definedName name="SD_8055x8_19_S_0" localSheetId="30">Mapping!$K$51</definedName>
    <definedName name="SD_8055x8_24_S_1" localSheetId="30">Mapping!$H$51</definedName>
    <definedName name="SD_8055x9_13_S_1" localSheetId="30">Mapping!$J$52</definedName>
    <definedName name="SD_8055x9_14_S_0" localSheetId="30">Mapping!$L$52</definedName>
    <definedName name="SD_8055x9_15_S_0" localSheetId="30">Mapping!$I$52</definedName>
    <definedName name="SD_8055x9_19_S_0" localSheetId="30">Mapping!$K$52</definedName>
    <definedName name="SD_8055x9_24_S_1" localSheetId="30">Mapping!$H$52</definedName>
    <definedName name="SD_81_S_0" localSheetId="30">Mapping!$D$48</definedName>
    <definedName name="SD_81x1_100_S_0" localSheetId="30">Mapping!$H$99</definedName>
    <definedName name="SD_81x1_101_S_0" localSheetId="30">Mapping!$G$99</definedName>
    <definedName name="SD_81x1_102_S_0" localSheetId="30">Mapping!$H$102</definedName>
    <definedName name="SD_81x1_103_S_0" localSheetId="30">Mapping!$G$102</definedName>
    <definedName name="SD_81x1_104_S_0" localSheetId="30">Mapping!$H$115</definedName>
    <definedName name="SD_81x1_105_S_0" localSheetId="30">Mapping!$G$115</definedName>
    <definedName name="SD_81x1_106_S_0" localSheetId="30">Mapping!$H$116</definedName>
    <definedName name="SD_81x1_107_S_0" localSheetId="30">Mapping!$G$116</definedName>
    <definedName name="SD_81x1_108_S_0" localSheetId="30">Mapping!$H$97</definedName>
    <definedName name="SD_81x1_109_S_0" localSheetId="30">Mapping!$G$97</definedName>
    <definedName name="SD_81x1_110_S_0" localSheetId="30">Mapping!$H$103</definedName>
    <definedName name="SD_81x1_111_S_0" localSheetId="30">Mapping!$G$103</definedName>
    <definedName name="SD_81x1_112_S_0" localSheetId="30">Mapping!$H$111</definedName>
    <definedName name="SD_81x1_113_S_0" localSheetId="30">Mapping!$G$111</definedName>
    <definedName name="SD_81x1_114_S_0" localSheetId="30">Mapping!$H$117</definedName>
    <definedName name="SD_81x1_115_S_0" localSheetId="30">Mapping!$G$117</definedName>
    <definedName name="SD_81x1_116_S_0" localSheetId="30">Mapping!$H$127</definedName>
    <definedName name="SD_81x1_117_S_0" localSheetId="30">Mapping!$G$127</definedName>
    <definedName name="SD_81x1_12_S_0" localSheetId="30">Mapping!$H$86</definedName>
    <definedName name="SD_81x1_123_S_0" localSheetId="30">Mapping!$H$119</definedName>
    <definedName name="SD_81x1_124_S_0" localSheetId="30">Mapping!$H$120</definedName>
    <definedName name="SD_81x1_126_S_0" localSheetId="30">Mapping!$H$90</definedName>
    <definedName name="SD_81x1_130_S_0" localSheetId="30">Mapping!$H$108</definedName>
    <definedName name="SD_81x1_131_S_0" localSheetId="30">Mapping!$H$121</definedName>
    <definedName name="SD_81x1_132_S_0" localSheetId="30">Mapping!$H$95</definedName>
    <definedName name="SD_81x1_133_S_0" localSheetId="30">Mapping!$H$109</definedName>
    <definedName name="SD_81x1_134_S_0" localSheetId="30">Mapping!$H$93</definedName>
    <definedName name="SD_81x1_135_S_0" localSheetId="30">Mapping!$H$101</definedName>
    <definedName name="SD_81x1_208_S_0" localSheetId="30">Mapping!$H$87</definedName>
    <definedName name="SD_81x1_26_S_0" localSheetId="30">Mapping!$H$84</definedName>
    <definedName name="SD_81x1_47_S_0" localSheetId="30">Mapping!$H$85</definedName>
    <definedName name="SD_81x1_5325x1_100_S_0" localSheetId="30">Mapping!$AC$183</definedName>
    <definedName name="SD_81x1_5325x1_101_S_0" localSheetId="30">Mapping!$AD$183</definedName>
    <definedName name="SD_81x1_5325x1_102_S_0" localSheetId="30">Mapping!$AC$184</definedName>
    <definedName name="SD_81x1_5325x1_103_S_0" localSheetId="30">Mapping!$AD$184</definedName>
    <definedName name="SD_81x1_5325x1_104_S_0" localSheetId="30">Mapping!$AC$185</definedName>
    <definedName name="SD_81x1_5325x1_105_S_0" localSheetId="30">Mapping!$AD$185</definedName>
    <definedName name="SD_81x1_5325x1_106_S_0" localSheetId="30">Mapping!$AC$186</definedName>
    <definedName name="SD_81x1_5325x1_107_S_0" localSheetId="30">Mapping!$AD$186</definedName>
    <definedName name="SD_81x1_5325x1_108_S_0" localSheetId="30">Mapping!$AC$187</definedName>
    <definedName name="SD_81x1_5325x1_109_S_0" localSheetId="30">Mapping!$AD$187</definedName>
    <definedName name="SD_81x1_5325x1_110_S_0" localSheetId="30">Mapping!$AC$188</definedName>
    <definedName name="SD_81x1_5325x1_111_S_0" localSheetId="30">Mapping!$AD$188</definedName>
    <definedName name="SD_81x1_5325x1_112_S_0" localSheetId="30">Mapping!$AC$189</definedName>
    <definedName name="SD_81x1_5325x1_113_S_0" localSheetId="30">Mapping!$AD$189</definedName>
    <definedName name="SD_81x1_5325x1_114_S_0" localSheetId="30">Mapping!$AC$190</definedName>
    <definedName name="SD_81x1_5325x1_115_S_0" localSheetId="30">Mapping!$AD$190</definedName>
    <definedName name="SD_81x1_5325x1_116_S_0" localSheetId="30">Mapping!$AC$191</definedName>
    <definedName name="SD_81x1_5325x1_117_S_0" localSheetId="30">Mapping!$AD$191</definedName>
    <definedName name="SD_81x1_5325x1_118_S_0" localSheetId="30">Mapping!$AC$192</definedName>
    <definedName name="SD_81x1_5325x1_119_S_0" localSheetId="30">Mapping!$AD$192</definedName>
    <definedName name="SD_81x1_5325x1_120_S_0" localSheetId="30">Mapping!$AC$193</definedName>
    <definedName name="SD_81x1_5325x1_121_S_0" localSheetId="30">Mapping!$AD$193</definedName>
    <definedName name="SD_81x1_5325x1_122_S_0" localSheetId="30">Mapping!$AC$194</definedName>
    <definedName name="SD_81x1_5325x1_123_S_0" localSheetId="30">Mapping!$AD$194</definedName>
    <definedName name="SD_81x1_5325x1_124_S_0" localSheetId="30">Mapping!$AC$195</definedName>
    <definedName name="SD_81x1_5325x1_125_S_0" localSheetId="30">Mapping!$AD$195</definedName>
    <definedName name="SD_81x1_5325x1_126_S_0" localSheetId="30">Mapping!$AC$196</definedName>
    <definedName name="SD_81x1_5325x1_127_S_0" localSheetId="30">Mapping!$AD$196</definedName>
    <definedName name="SD_81x1_5325x1_128_S_0" localSheetId="30">Mapping!$AC$197</definedName>
    <definedName name="SD_81x1_5325x1_129_S_0" localSheetId="30">Mapping!$AD$197</definedName>
    <definedName name="SD_81x1_5325x1_130_S_0" localSheetId="30">Mapping!$AC$198</definedName>
    <definedName name="SD_81x1_5325x1_131_S_0" localSheetId="30">Mapping!$AD$198</definedName>
    <definedName name="SD_81x1_5325x1_132_S_0" localSheetId="30">Mapping!$AC$199</definedName>
    <definedName name="SD_81x1_5325x1_133_S_0" localSheetId="30">Mapping!$AD$199</definedName>
    <definedName name="SD_81x1_5325x1_134_S_0" localSheetId="30">Mapping!$AC$200</definedName>
    <definedName name="SD_81x1_5325x1_135_S_0" localSheetId="30">Mapping!$AD$200</definedName>
    <definedName name="SD_81x1_5325x1_136_S_0" localSheetId="30">Mapping!$AC$201</definedName>
    <definedName name="SD_81x1_5325x1_137_S_0" localSheetId="30">Mapping!$AD$201</definedName>
    <definedName name="SD_81x1_5325x1_138_S_0" localSheetId="30">Mapping!$AC$202</definedName>
    <definedName name="SD_81x1_5325x1_139_S_0" localSheetId="30">Mapping!$AD$202</definedName>
    <definedName name="SD_81x1_5325x1_140_S_0" localSheetId="30">Mapping!$AC$203</definedName>
    <definedName name="SD_81x1_5325x1_141_S_0" localSheetId="30">Mapping!$AD$203</definedName>
    <definedName name="SD_81x1_5325x1_142_S_0" localSheetId="30">Mapping!$AD$204</definedName>
    <definedName name="SD_81x1_5325x1_143_S_0" localSheetId="30">Mapping!$AE$183</definedName>
    <definedName name="SD_81x1_5325x1_144_S_0" localSheetId="30">Mapping!$AF$183</definedName>
    <definedName name="SD_81x1_5325x1_145_S_0" localSheetId="30">Mapping!$AE$184</definedName>
    <definedName name="SD_81x1_5325x1_146_S_0" localSheetId="30">Mapping!$AF$184</definedName>
    <definedName name="SD_81x1_5325x1_147_S_0" localSheetId="30">Mapping!$AE$185</definedName>
    <definedName name="SD_81x1_5325x1_148_S_0" localSheetId="30">Mapping!$AF$185</definedName>
    <definedName name="SD_81x1_5325x1_149_S_0" localSheetId="30">Mapping!$AE$186</definedName>
    <definedName name="SD_81x1_5325x1_150_S_0" localSheetId="30">Mapping!$AF$186</definedName>
    <definedName name="SD_81x1_5325x1_151_S_0" localSheetId="30">Mapping!$AE$187</definedName>
    <definedName name="SD_81x1_5325x1_152_S_0" localSheetId="30">Mapping!$AF$187</definedName>
    <definedName name="SD_81x1_5325x1_153_S_0" localSheetId="30">Mapping!$AE$188</definedName>
    <definedName name="SD_81x1_5325x1_154_S_0" localSheetId="30">Mapping!$AF$188</definedName>
    <definedName name="SD_81x1_5325x1_155_S_0" localSheetId="30">Mapping!$AE$189</definedName>
    <definedName name="SD_81x1_5325x1_156_S_0" localSheetId="30">Mapping!$AF$189</definedName>
    <definedName name="SD_81x1_5325x1_157_S_0" localSheetId="30">Mapping!$AE$190</definedName>
    <definedName name="SD_81x1_5325x1_158_S_0" localSheetId="30">Mapping!$AF$190</definedName>
    <definedName name="SD_81x1_5325x1_159_S_0" localSheetId="30">Mapping!$AE$191</definedName>
    <definedName name="SD_81x1_5325x1_160_S_0" localSheetId="30">Mapping!$AF$191</definedName>
    <definedName name="SD_81x1_5325x1_161_S_0" localSheetId="30">Mapping!$AE$192</definedName>
    <definedName name="SD_81x1_5325x1_162_S_0" localSheetId="30">Mapping!$AF$192</definedName>
    <definedName name="SD_81x1_5325x1_163_S_0" localSheetId="30">Mapping!$AE$193</definedName>
    <definedName name="SD_81x1_5325x1_164_S_0" localSheetId="30">Mapping!$AF$193</definedName>
    <definedName name="SD_81x1_5325x1_165_S_0" localSheetId="30">Mapping!$AE$194</definedName>
    <definedName name="SD_81x1_5325x1_166_S_0" localSheetId="30">Mapping!$AF$194</definedName>
    <definedName name="SD_81x1_5325x1_167_S_0" localSheetId="30">Mapping!$AE$195</definedName>
    <definedName name="SD_81x1_5325x1_168_S_0" localSheetId="30">Mapping!$AF$195</definedName>
    <definedName name="SD_81x1_5325x1_169_S_0" localSheetId="30">Mapping!$AE$196</definedName>
    <definedName name="SD_81x1_5325x1_170_S_0" localSheetId="30">Mapping!$AF$196</definedName>
    <definedName name="SD_81x1_5325x1_171_S_0" localSheetId="30">Mapping!$AE$197</definedName>
    <definedName name="SD_81x1_5325x1_172_S_0" localSheetId="30">Mapping!$AF$197</definedName>
    <definedName name="SD_81x1_5325x1_173_S_0" localSheetId="30">Mapping!$AE$198</definedName>
    <definedName name="SD_81x1_5325x1_174_S_0" localSheetId="30">Mapping!$AF$198</definedName>
    <definedName name="SD_81x1_5325x1_175_S_0" localSheetId="30">Mapping!$AE$199</definedName>
    <definedName name="SD_81x1_5325x1_176_S_0" localSheetId="30">Mapping!$AF$199</definedName>
    <definedName name="SD_81x1_5325x1_177_S_0" localSheetId="30">Mapping!$AE$200</definedName>
    <definedName name="SD_81x1_5325x1_178_S_0" localSheetId="30">Mapping!$AF$200</definedName>
    <definedName name="SD_81x1_5325x1_179_S_0" localSheetId="30">Mapping!$AE$201</definedName>
    <definedName name="SD_81x1_5325x1_180_S_0" localSheetId="30">Mapping!$AF$201</definedName>
    <definedName name="SD_81x1_5325x1_181_S_0" localSheetId="30">Mapping!$AE$202</definedName>
    <definedName name="SD_81x1_5325x1_182_S_0" localSheetId="30">Mapping!$AF$202</definedName>
    <definedName name="SD_81x1_5325x1_183_S_0" localSheetId="30">Mapping!$AE$203</definedName>
    <definedName name="SD_81x1_5325x1_184_S_0" localSheetId="30">Mapping!$AF$203</definedName>
    <definedName name="SD_81x1_5325x1_185_S_0" localSheetId="30">Mapping!$AF$204</definedName>
    <definedName name="SD_81x1_5325x1_186_S_0" localSheetId="30">Mapping!$G$214</definedName>
    <definedName name="SD_81x1_5325x1_187_S_0" localSheetId="30">Mapping!$H$214</definedName>
    <definedName name="SD_81x1_5325x1_188_S_0" localSheetId="30">Mapping!$G$215</definedName>
    <definedName name="SD_81x1_5325x1_189_S_0" localSheetId="30">Mapping!$H$215</definedName>
    <definedName name="SD_81x1_5325x1_190_S_0" localSheetId="30">Mapping!$G$216</definedName>
    <definedName name="SD_81x1_5325x1_191_S_0" localSheetId="30">Mapping!$H$216</definedName>
    <definedName name="SD_81x1_5325x1_192_S_0" localSheetId="30">Mapping!$G$217</definedName>
    <definedName name="SD_81x1_5325x1_193_S_0" localSheetId="30">Mapping!$H$217</definedName>
    <definedName name="SD_81x1_5325x1_194_S_0" localSheetId="30">Mapping!$G$218</definedName>
    <definedName name="SD_81x1_5325x1_195_S_0" localSheetId="30">Mapping!$H$218</definedName>
    <definedName name="SD_81x1_5325x1_196_S_0" localSheetId="30">Mapping!$G$219</definedName>
    <definedName name="SD_81x1_5325x1_197_S_0" localSheetId="30">Mapping!$H$219</definedName>
    <definedName name="SD_81x1_5325x1_198_S_0" localSheetId="30">Mapping!$I$224</definedName>
    <definedName name="SD_81x1_5325x1_199_S_0" localSheetId="30">Mapping!$I$225</definedName>
    <definedName name="SD_81x1_5325x1_200_S_0" localSheetId="30">Mapping!$I$226</definedName>
    <definedName name="SD_81x1_5325x1_201_S_0" localSheetId="30">Mapping!$I$227</definedName>
    <definedName name="SD_81x1_55_S_0" localSheetId="30">Mapping!$H$82</definedName>
    <definedName name="SD_81x1_60_S_0" localSheetId="30">Mapping!$H$83</definedName>
    <definedName name="SD_81x1_64_S_0" localSheetId="30">Mapping!$H$94</definedName>
    <definedName name="SD_81x1_65_S_0" localSheetId="30">Mapping!$H$113</definedName>
    <definedName name="SD_81x1_66_S_0" localSheetId="30">Mapping!$H$106</definedName>
    <definedName name="SD_81x1_70_S_0" localSheetId="30">Mapping!$H$89</definedName>
    <definedName name="SD_81x1_72_S_0" localSheetId="30">Mapping!$H$100</definedName>
    <definedName name="SD_81x1_74_S_0" localSheetId="30">Mapping!$H$124</definedName>
    <definedName name="SD_81x1_76_S_0" localSheetId="30">Mapping!$H$91</definedName>
    <definedName name="SD_81x1_78_S_0" localSheetId="30">Mapping!$H$126</definedName>
    <definedName name="SD_81x1_80_S_0" localSheetId="30">Mapping!$H$107</definedName>
    <definedName name="SD_81x1_84_S_0" localSheetId="30">Mapping!$H$110</definedName>
    <definedName name="SD_81x1_87_S_0" localSheetId="30">Mapping!$H$96</definedName>
    <definedName name="SD_81x1_89_S_0" localSheetId="30">Mapping!$H$114</definedName>
    <definedName name="SD_81x1_90_S_0" localSheetId="30">Mapping!$H$92</definedName>
    <definedName name="SD_81x1_93_S_0" localSheetId="30">Mapping!$H$105</definedName>
    <definedName name="SD_81x1_94_S_0" localSheetId="30">Mapping!$H$122</definedName>
    <definedName name="SD_81x1_99_S_0" localSheetId="30">Mapping!$H$123</definedName>
    <definedName name="SD_82_S_0" localSheetId="30">Mapping!$D$51</definedName>
    <definedName name="SD_D_AllDEVFundingSourcesForSmartDox" hidden="1">SD_Dropdowns!$AG$2:$AH$42</definedName>
    <definedName name="SD_D_AllDEVFundingSourcesForSmartDox_Name" hidden="1">SD_Dropdowns!$AG$2:$AG$42</definedName>
    <definedName name="SD_D_AllDEVFundingSourcesForSmartDox_Value" hidden="1">SD_Dropdowns!$AH$2:$AH$42</definedName>
    <definedName name="SD_D_Blank" hidden="1">SD_Dropdowns!$A$1</definedName>
    <definedName name="SD_D_DEVDeals_174_DEVFunding" hidden="1">SD_Dropdowns!$CW$2:$CX$37</definedName>
    <definedName name="SD_D_DEVDeals_174_DEVFunding_Name" hidden="1">SD_Dropdowns!$CW$2:$CW$37</definedName>
    <definedName name="SD_D_DEVDeals_174_DEVFunding_Value" hidden="1">SD_Dropdowns!$CX$2:$CX$37</definedName>
    <definedName name="SD_D_DEVDeals_177_DEVFunding" hidden="1">SD_Dropdowns!$CW$2:$CX$40</definedName>
    <definedName name="SD_D_DEVDeals_177_DEVFunding_Name" hidden="1">SD_Dropdowns!$CW$2:$CW$40</definedName>
    <definedName name="SD_D_DEVDeals_177_DEVFunding_Value" hidden="1">SD_Dropdowns!$CX$2:$CX$40</definedName>
    <definedName name="SD_D_PL_BldgAllocType" hidden="1">SD_Dropdowns!$U$2:$V$8</definedName>
    <definedName name="SD_D_PL_BldgAllocType_Name" hidden="1">SD_Dropdowns!$U$2:$U$8</definedName>
    <definedName name="SD_D_PL_BldgAllocType_Value" hidden="1">SD_Dropdowns!$V$2:$V$8</definedName>
    <definedName name="SD_D_PL_BuildingType" hidden="1">SD_Dropdowns!$K$2:$L$15</definedName>
    <definedName name="SD_D_PL_BuildingType_Name" hidden="1">SD_Dropdowns!$K$2:$K$15</definedName>
    <definedName name="SD_D_PL_BuildingType_Value" hidden="1">SD_Dropdowns!$L$2:$L$15</definedName>
    <definedName name="SD_D_PL_DealEntityRole" hidden="1">SD_Dropdowns!$AE$2:$AF$57</definedName>
    <definedName name="SD_D_PL_DealEntityRole_Name" hidden="1">SD_Dropdowns!$AE$2:$AE$57</definedName>
    <definedName name="SD_D_PL_DealEntityRole_Value" hidden="1">SD_Dropdowns!$AF$2:$AF$57</definedName>
    <definedName name="SD_D_PL_DEVDealType" hidden="1">SD_Dropdowns!$C$2:$D$9</definedName>
    <definedName name="SD_D_PL_DEVDealType_Name" hidden="1">SD_Dropdowns!$C$2:$C$9</definedName>
    <definedName name="SD_D_PL_DEVDealType_Value" hidden="1">SD_Dropdowns!$D$2:$D$9</definedName>
    <definedName name="SD_D_PL_EntityCompanyOrIndividual" hidden="1">SD_Dropdowns!$AC$2:$AD$4</definedName>
    <definedName name="SD_D_PL_EntityCompanyOrIndividual_Name" hidden="1">SD_Dropdowns!$AC$2:$AC$4</definedName>
    <definedName name="SD_D_PL_EntityCompanyOrIndividual_Value" hidden="1">SD_Dropdowns!$AD$2:$AD$4</definedName>
    <definedName name="SD_D_PL_FinancingType" hidden="1">SD_Dropdowns!$W$2:$X$5</definedName>
    <definedName name="SD_D_PL_FinancingType_Name" hidden="1">SD_Dropdowns!$W$2:$W$5</definedName>
    <definedName name="SD_D_PL_FinancingType_Value" hidden="1">SD_Dropdowns!$X$2:$X$5</definedName>
    <definedName name="SD_D_PL_IncomeTarget" hidden="1">SD_Dropdowns!$AA$2:$AB$8</definedName>
    <definedName name="SD_D_PL_IncomeTarget_Name" hidden="1">SD_Dropdowns!$AA$2:$AA$8</definedName>
    <definedName name="SD_D_PL_IncomeTarget_Value" hidden="1">SD_Dropdowns!$AB$2:$AB$8</definedName>
    <definedName name="SD_D_PL_InstrumentType" hidden="1">SD_Dropdowns!$Q$2:$R$10</definedName>
    <definedName name="SD_D_PL_InstrumentType_Name" hidden="1">SD_Dropdowns!$Q$2:$Q$10</definedName>
    <definedName name="SD_D_PL_InstrumentType_Value" hidden="1">SD_Dropdowns!$R$2:$R$10</definedName>
    <definedName name="SD_D_PL_Jurisdiction" hidden="1">SD_Dropdowns!$E$2:$F$18</definedName>
    <definedName name="SD_D_PL_Jurisdiction_Name" hidden="1">SD_Dropdowns!$E$2:$E$18</definedName>
    <definedName name="SD_D_PL_Jurisdiction_Value" hidden="1">SD_Dropdowns!$F$2:$F$18</definedName>
    <definedName name="SD_D_PL_ProgramType" hidden="1">SD_Dropdowns!$O$2:$P$6</definedName>
    <definedName name="SD_D_PL_ProgramType_Name" hidden="1">SD_Dropdowns!$O$2:$O$6</definedName>
    <definedName name="SD_D_PL_ProgramType_Value" hidden="1">SD_Dropdowns!$P$2:$P$6</definedName>
    <definedName name="SD_D_PL_RestrictionType" hidden="1">SD_Dropdowns!$M$2:$N$7</definedName>
    <definedName name="SD_D_PL_RestrictionType_Name" hidden="1">SD_Dropdowns!$M$2:$M$7</definedName>
    <definedName name="SD_D_PL_RestrictionType_Value" hidden="1">SD_Dropdowns!$N$2:$N$7</definedName>
    <definedName name="SD_D_PL_SiteControlType" hidden="1">SD_Dropdowns!$S$2:$T$7</definedName>
    <definedName name="SD_D_PL_SiteControlType_Name" hidden="1">SD_Dropdowns!$S$2:$S$7</definedName>
    <definedName name="SD_D_PL_SiteControlType_Value" hidden="1">SD_Dropdowns!$T$2:$T$7</definedName>
    <definedName name="SD_D_PL_TCUnitMixType" hidden="1">SD_Dropdowns!$Y$2:$Z$8</definedName>
    <definedName name="SD_D_PL_TCUnitMixType_Name" hidden="1">SD_Dropdowns!$Y$2:$Y$8</definedName>
    <definedName name="SD_D_PL_TCUnitMixType_Value" hidden="1">SD_Dropdowns!$Z$2:$Z$8</definedName>
    <definedName name="SD_D_PL_UnitMixAmiPercent" hidden="1">SD_Dropdowns!$G$2:$H$12</definedName>
    <definedName name="SD_D_PL_UnitMixAmiPercent_Name" hidden="1">SD_Dropdowns!$G$2:$G$12</definedName>
    <definedName name="SD_D_PL_UnitMixAmiPercent_Value" hidden="1">SD_Dropdowns!$H$2:$H$12</definedName>
    <definedName name="SD_D_PL_UnitType" hidden="1">SD_Dropdowns!$I$2:$J$34</definedName>
    <definedName name="SD_D_PL_UnitType_Name" hidden="1">SD_Dropdowns!$I$2:$I$34</definedName>
    <definedName name="SD_D_PL_UnitType_Value" hidden="1">SD_Dropdowns!$J$2:$J$34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18" l="1"/>
  <c r="P16" i="118"/>
  <c r="O16" i="118"/>
  <c r="N16" i="118"/>
  <c r="M16" i="118"/>
  <c r="L16" i="118"/>
  <c r="K16" i="118"/>
  <c r="J16" i="118"/>
  <c r="I34" i="118"/>
  <c r="F84" i="122"/>
  <c r="D66" i="122" s="1"/>
  <c r="F83" i="122"/>
  <c r="D65" i="122" s="1"/>
  <c r="F82" i="122"/>
  <c r="D64" i="122" s="1"/>
  <c r="F81" i="122"/>
  <c r="D63" i="122" s="1"/>
  <c r="F80" i="122"/>
  <c r="D62" i="122" s="1"/>
  <c r="D47" i="122"/>
  <c r="D46" i="122"/>
  <c r="D45" i="122"/>
  <c r="D44" i="122"/>
  <c r="D42" i="122"/>
  <c r="B66" i="122"/>
  <c r="D40" i="122"/>
  <c r="B65" i="122"/>
  <c r="B64" i="122"/>
  <c r="D35" i="122"/>
  <c r="B62" i="122"/>
  <c r="E62" i="122" l="1"/>
  <c r="E64" i="122"/>
  <c r="E66" i="122"/>
  <c r="E65" i="122"/>
  <c r="D37" i="122"/>
  <c r="B63" i="122"/>
  <c r="E63" i="122" s="1"/>
  <c r="D39" i="122"/>
  <c r="D36" i="122"/>
  <c r="D41" i="122"/>
  <c r="D43" i="122"/>
  <c r="D38" i="122"/>
  <c r="I67" i="122" l="1"/>
  <c r="I73" i="122" s="1"/>
  <c r="L183" i="72" l="1"/>
  <c r="M183" i="72" s="1"/>
  <c r="G58" i="97"/>
  <c r="Y92" i="72"/>
  <c r="R18" i="4" l="1"/>
  <c r="J8" i="4" s="1"/>
  <c r="F41" i="107"/>
  <c r="M178" i="72"/>
  <c r="L184" i="72" l="1"/>
  <c r="M184" i="72" s="1"/>
  <c r="A15" i="106" l="1"/>
  <c r="B85" i="72" l="1"/>
  <c r="B89" i="72"/>
  <c r="B91" i="72"/>
  <c r="B95" i="72"/>
  <c r="B96" i="72"/>
  <c r="B84" i="72"/>
  <c r="L42" i="41" l="1"/>
  <c r="H34" i="41"/>
  <c r="K132" i="72" l="1"/>
  <c r="E40" i="44" l="1"/>
  <c r="E193" i="119"/>
  <c r="E194" i="119"/>
  <c r="G73" i="72"/>
  <c r="Y10" i="72" l="1"/>
  <c r="P73" i="72"/>
  <c r="D83" i="72"/>
  <c r="Y12" i="72" l="1"/>
  <c r="Y14" i="72" s="1"/>
  <c r="G217" i="72"/>
  <c r="Y17" i="72"/>
  <c r="B83" i="72"/>
  <c r="I8" i="122"/>
  <c r="I71" i="122" s="1"/>
  <c r="A34" i="118"/>
  <c r="A35" i="118"/>
  <c r="A36" i="118"/>
  <c r="A37" i="118"/>
  <c r="A38" i="118"/>
  <c r="A39" i="118"/>
  <c r="A40" i="118"/>
  <c r="A41" i="118"/>
  <c r="A42" i="118"/>
  <c r="A43" i="118"/>
  <c r="A44" i="118"/>
  <c r="A45" i="118"/>
  <c r="A46" i="118"/>
  <c r="A47" i="118"/>
  <c r="A48" i="118"/>
  <c r="A49" i="118"/>
  <c r="A50" i="118"/>
  <c r="A51" i="118"/>
  <c r="A52" i="118"/>
  <c r="A53" i="118"/>
  <c r="A54" i="118"/>
  <c r="A55" i="118"/>
  <c r="A33" i="118"/>
  <c r="Y18" i="72" l="1"/>
  <c r="AA92" i="72"/>
  <c r="Y19" i="72" l="1"/>
  <c r="K130" i="72"/>
  <c r="F43" i="44"/>
  <c r="E128" i="72"/>
  <c r="Y128" i="72" s="1"/>
  <c r="D97" i="72"/>
  <c r="B97" i="72" s="1"/>
  <c r="E39" i="44"/>
  <c r="E127" i="72"/>
  <c r="Y127" i="72" s="1"/>
  <c r="D127" i="72"/>
  <c r="L128" i="72"/>
  <c r="L127" i="72"/>
  <c r="H128" i="72"/>
  <c r="Y20" i="72" l="1"/>
  <c r="E126" i="72"/>
  <c r="E68" i="72"/>
  <c r="Y21" i="72" l="1"/>
  <c r="N92" i="41"/>
  <c r="Y22" i="72" l="1"/>
  <c r="J6" i="4"/>
  <c r="Y23" i="72" l="1"/>
  <c r="V187" i="119"/>
  <c r="AE187" i="119" s="1"/>
  <c r="V186" i="119"/>
  <c r="AE186" i="119" s="1"/>
  <c r="V185" i="119"/>
  <c r="AE185" i="119" s="1"/>
  <c r="Y24" i="72" l="1"/>
  <c r="Y187" i="119"/>
  <c r="X187" i="119"/>
  <c r="Z187" i="119"/>
  <c r="Y185" i="119"/>
  <c r="Z185" i="119"/>
  <c r="X185" i="119"/>
  <c r="X186" i="119"/>
  <c r="Y186" i="119"/>
  <c r="Z186" i="119"/>
  <c r="K60" i="73"/>
  <c r="K62" i="73"/>
  <c r="K63" i="73"/>
  <c r="K64" i="73"/>
  <c r="K65" i="73"/>
  <c r="K66" i="73"/>
  <c r="K67" i="73"/>
  <c r="K68" i="73"/>
  <c r="K69" i="73"/>
  <c r="K70" i="73"/>
  <c r="K73" i="73"/>
  <c r="K74" i="73"/>
  <c r="K75" i="73"/>
  <c r="K76" i="73"/>
  <c r="K77" i="73"/>
  <c r="K80" i="73"/>
  <c r="K81" i="73"/>
  <c r="K82" i="73"/>
  <c r="K83" i="73"/>
  <c r="K84" i="73"/>
  <c r="K85" i="73"/>
  <c r="K86" i="73"/>
  <c r="Q73" i="41"/>
  <c r="K89" i="73" s="1"/>
  <c r="K90" i="73"/>
  <c r="K91" i="73"/>
  <c r="Q79" i="41"/>
  <c r="K92" i="73" s="1"/>
  <c r="E58" i="42"/>
  <c r="C217" i="119" s="1"/>
  <c r="G217" i="119" s="1"/>
  <c r="L217" i="119" s="1"/>
  <c r="K101" i="73"/>
  <c r="K102" i="73"/>
  <c r="K103" i="73"/>
  <c r="K104" i="73"/>
  <c r="A153" i="72"/>
  <c r="B46" i="118"/>
  <c r="C46" i="118" s="1"/>
  <c r="B47" i="118"/>
  <c r="C47" i="118" s="1"/>
  <c r="B48" i="118"/>
  <c r="C48" i="118" s="1"/>
  <c r="B49" i="118"/>
  <c r="C49" i="118" s="1"/>
  <c r="B50" i="118"/>
  <c r="C50" i="118" s="1"/>
  <c r="B51" i="118"/>
  <c r="C51" i="118" s="1"/>
  <c r="B52" i="118"/>
  <c r="C52" i="118" s="1"/>
  <c r="B53" i="118"/>
  <c r="C53" i="118" s="1"/>
  <c r="B54" i="118"/>
  <c r="C54" i="118" s="1"/>
  <c r="B55" i="118"/>
  <c r="C55" i="118" s="1"/>
  <c r="E6" i="73"/>
  <c r="H18" i="73" s="1"/>
  <c r="E19" i="88"/>
  <c r="E27" i="88"/>
  <c r="P16" i="72" s="1"/>
  <c r="L16" i="72"/>
  <c r="L20" i="72" s="1"/>
  <c r="L21" i="72" s="1"/>
  <c r="G55" i="73"/>
  <c r="G60" i="73" s="1"/>
  <c r="H55" i="73"/>
  <c r="H60" i="73" s="1"/>
  <c r="E45" i="88"/>
  <c r="P17" i="72" s="1"/>
  <c r="C84" i="119" s="1"/>
  <c r="P18" i="72"/>
  <c r="H18" i="72" s="1"/>
  <c r="D57" i="73" s="1"/>
  <c r="F57" i="73" s="1"/>
  <c r="J57" i="73" s="1"/>
  <c r="P19" i="72"/>
  <c r="H19" i="72" s="1"/>
  <c r="D58" i="73" s="1"/>
  <c r="F58" i="73" s="1"/>
  <c r="J58" i="73" s="1"/>
  <c r="P20" i="72"/>
  <c r="E8" i="73"/>
  <c r="E11" i="73"/>
  <c r="G19" i="73" s="1"/>
  <c r="G20" i="73" s="1"/>
  <c r="G21" i="73" s="1"/>
  <c r="E10" i="73"/>
  <c r="S37" i="89"/>
  <c r="E7" i="73" s="1"/>
  <c r="S13" i="41"/>
  <c r="J62" i="73" s="1"/>
  <c r="S15" i="41"/>
  <c r="L21" i="115" s="1"/>
  <c r="S17" i="41"/>
  <c r="L22" i="115" s="1"/>
  <c r="S19" i="41"/>
  <c r="J65" i="73" s="1"/>
  <c r="S21" i="41"/>
  <c r="J66" i="73" s="1"/>
  <c r="S23" i="41"/>
  <c r="J67" i="73" s="1"/>
  <c r="S25" i="41"/>
  <c r="J68" i="73" s="1"/>
  <c r="S27" i="41"/>
  <c r="J69" i="73" s="1"/>
  <c r="E16" i="42"/>
  <c r="S38" i="41"/>
  <c r="E146" i="119" s="1"/>
  <c r="S40" i="41"/>
  <c r="J74" i="73" s="1"/>
  <c r="S42" i="41"/>
  <c r="L31" i="115" s="1"/>
  <c r="J76" i="73"/>
  <c r="E30" i="42"/>
  <c r="E46" i="41" s="1"/>
  <c r="C150" i="119" s="1"/>
  <c r="H150" i="119" s="1"/>
  <c r="F80" i="73"/>
  <c r="F81" i="73"/>
  <c r="F82" i="73"/>
  <c r="F83" i="73"/>
  <c r="F84" i="73"/>
  <c r="F85" i="73"/>
  <c r="E44" i="42"/>
  <c r="H65" i="41" s="1"/>
  <c r="S116" i="41"/>
  <c r="E173" i="119" s="1"/>
  <c r="S118" i="41"/>
  <c r="E174" i="119" s="1"/>
  <c r="S120" i="41"/>
  <c r="J103" i="73" s="1"/>
  <c r="J104" i="73"/>
  <c r="G57" i="118"/>
  <c r="W50" i="88" s="1"/>
  <c r="X31" i="89"/>
  <c r="S53" i="41"/>
  <c r="L34" i="115" s="1"/>
  <c r="S55" i="41"/>
  <c r="J81" i="73" s="1"/>
  <c r="S57" i="41"/>
  <c r="J82" i="73" s="1"/>
  <c r="S61" i="41"/>
  <c r="E156" i="119" s="1"/>
  <c r="S63" i="41"/>
  <c r="J85" i="73" s="1"/>
  <c r="V5" i="72"/>
  <c r="BK6" i="115" s="1"/>
  <c r="W4" i="72"/>
  <c r="Y48" i="89" s="1"/>
  <c r="V10" i="72"/>
  <c r="V15" i="72"/>
  <c r="B38" i="89"/>
  <c r="D38" i="89" s="1"/>
  <c r="C41" i="44" s="1"/>
  <c r="E73" i="41"/>
  <c r="L50" i="72"/>
  <c r="E75" i="41"/>
  <c r="P51" i="72" s="1"/>
  <c r="L51" i="72"/>
  <c r="E77" i="41"/>
  <c r="P52" i="72" s="1"/>
  <c r="D8" i="115" s="1"/>
  <c r="H8" i="115" s="1"/>
  <c r="L52" i="72"/>
  <c r="E79" i="41"/>
  <c r="P53" i="72" s="1"/>
  <c r="L53" i="72"/>
  <c r="L54" i="72"/>
  <c r="E13" i="41"/>
  <c r="C136" i="119" s="1"/>
  <c r="H136" i="119" s="1"/>
  <c r="L23" i="72"/>
  <c r="E15" i="41"/>
  <c r="P24" i="72" s="1"/>
  <c r="D21" i="115" s="1"/>
  <c r="H21" i="115" s="1"/>
  <c r="L24" i="72"/>
  <c r="E17" i="41"/>
  <c r="C138" i="119" s="1"/>
  <c r="H138" i="119" s="1"/>
  <c r="L25" i="72"/>
  <c r="E19" i="41"/>
  <c r="P26" i="72" s="1"/>
  <c r="D23" i="115" s="1"/>
  <c r="H23" i="115" s="1"/>
  <c r="L26" i="72"/>
  <c r="E21" i="41"/>
  <c r="P27" i="72" s="1"/>
  <c r="L27" i="72"/>
  <c r="E23" i="41"/>
  <c r="P28" i="72" s="1"/>
  <c r="D25" i="115" s="1"/>
  <c r="H25" i="115" s="1"/>
  <c r="L28" i="72"/>
  <c r="E25" i="41"/>
  <c r="P29" i="72" s="1"/>
  <c r="L29" i="72"/>
  <c r="E27" i="41"/>
  <c r="P30" i="72" s="1"/>
  <c r="D27" i="115" s="1"/>
  <c r="H27" i="115" s="1"/>
  <c r="L30" i="72"/>
  <c r="L31" i="72"/>
  <c r="E38" i="41"/>
  <c r="P34" i="72" s="1"/>
  <c r="D29" i="115" s="1"/>
  <c r="H29" i="115" s="1"/>
  <c r="L34" i="72"/>
  <c r="E40" i="41"/>
  <c r="P35" i="72" s="1"/>
  <c r="K107" i="72" s="1"/>
  <c r="L35" i="72"/>
  <c r="E42" i="41"/>
  <c r="P36" i="72" s="1"/>
  <c r="D31" i="115" s="1"/>
  <c r="H31" i="115" s="1"/>
  <c r="L36" i="72"/>
  <c r="E44" i="41"/>
  <c r="P37" i="72" s="1"/>
  <c r="D32" i="115" s="1"/>
  <c r="H32" i="115" s="1"/>
  <c r="L37" i="72"/>
  <c r="L38" i="72"/>
  <c r="E53" i="41"/>
  <c r="P41" i="72" s="1"/>
  <c r="D34" i="115" s="1"/>
  <c r="H34" i="115" s="1"/>
  <c r="L41" i="72"/>
  <c r="E55" i="41"/>
  <c r="P42" i="72" s="1"/>
  <c r="D35" i="115" s="1"/>
  <c r="H35" i="115" s="1"/>
  <c r="L42" i="72"/>
  <c r="E57" i="41"/>
  <c r="P43" i="72" s="1"/>
  <c r="D36" i="115" s="1"/>
  <c r="H36" i="115" s="1"/>
  <c r="L43" i="72"/>
  <c r="L44" i="72"/>
  <c r="E61" i="41"/>
  <c r="P45" i="72" s="1"/>
  <c r="L45" i="72"/>
  <c r="E63" i="41"/>
  <c r="C157" i="119" s="1"/>
  <c r="H157" i="119" s="1"/>
  <c r="L46" i="72"/>
  <c r="L47" i="72"/>
  <c r="E71" i="42"/>
  <c r="E96" i="41" s="1"/>
  <c r="P65" i="72" s="1"/>
  <c r="C127" i="119" s="1"/>
  <c r="H127" i="119" s="1"/>
  <c r="L65" i="72"/>
  <c r="W31" i="89"/>
  <c r="M8" i="4" s="1"/>
  <c r="E116" i="41"/>
  <c r="P62" i="72" s="1"/>
  <c r="L62" i="72"/>
  <c r="E102" i="41"/>
  <c r="E104" i="41"/>
  <c r="E106" i="41"/>
  <c r="E108" i="41"/>
  <c r="E110" i="41"/>
  <c r="L61" i="72"/>
  <c r="C11" i="44"/>
  <c r="G92" i="72"/>
  <c r="E196" i="119" s="1"/>
  <c r="G94" i="72"/>
  <c r="E198" i="119" s="1"/>
  <c r="G97" i="72"/>
  <c r="G98" i="72"/>
  <c r="L57" i="72"/>
  <c r="L58" i="72"/>
  <c r="L59" i="72"/>
  <c r="L60" i="72"/>
  <c r="L63" i="72"/>
  <c r="L64" i="72"/>
  <c r="I93" i="72"/>
  <c r="E197" i="119" s="1"/>
  <c r="D185" i="119"/>
  <c r="C185" i="119"/>
  <c r="T81" i="72"/>
  <c r="T85" i="72"/>
  <c r="P86" i="72"/>
  <c r="H129" i="72" s="1"/>
  <c r="P87" i="72"/>
  <c r="P90" i="72"/>
  <c r="H132" i="72" s="1"/>
  <c r="P92" i="72"/>
  <c r="P93" i="72"/>
  <c r="P94" i="72"/>
  <c r="P95" i="72"/>
  <c r="P96" i="72"/>
  <c r="P97" i="72"/>
  <c r="H138" i="72" s="1"/>
  <c r="P98" i="72"/>
  <c r="P99" i="72"/>
  <c r="H140" i="72" s="1"/>
  <c r="E118" i="41"/>
  <c r="E120" i="41"/>
  <c r="P64" i="72" s="1"/>
  <c r="C126" i="119" s="1"/>
  <c r="D39" i="44"/>
  <c r="F39" i="44" s="1"/>
  <c r="D40" i="44"/>
  <c r="J130" i="72" s="1"/>
  <c r="F45" i="44"/>
  <c r="F47" i="44"/>
  <c r="F48" i="44"/>
  <c r="F49" i="44"/>
  <c r="F17" i="44"/>
  <c r="F19" i="44"/>
  <c r="E23" i="57"/>
  <c r="C313" i="119" s="1"/>
  <c r="H313" i="119" s="1"/>
  <c r="G18" i="71"/>
  <c r="E31" i="57" s="1"/>
  <c r="C317" i="119" s="1"/>
  <c r="H317" i="119" s="1"/>
  <c r="G32" i="71"/>
  <c r="E56" i="57" s="1"/>
  <c r="G46" i="71"/>
  <c r="E67" i="57" s="1"/>
  <c r="E69" i="57" s="1"/>
  <c r="C337" i="119" s="1"/>
  <c r="G60" i="71"/>
  <c r="E79" i="57" s="1"/>
  <c r="E81" i="57" s="1"/>
  <c r="C343" i="119" s="1"/>
  <c r="G74" i="71"/>
  <c r="E92" i="57" s="1"/>
  <c r="E94" i="57" s="1"/>
  <c r="C350" i="119" s="1"/>
  <c r="E92" i="41"/>
  <c r="C10" i="119"/>
  <c r="C9" i="119"/>
  <c r="I9" i="119" s="1"/>
  <c r="D183" i="119"/>
  <c r="D191" i="119"/>
  <c r="D190" i="119"/>
  <c r="D189" i="119"/>
  <c r="D201" i="119"/>
  <c r="F185" i="119"/>
  <c r="F188" i="119"/>
  <c r="F191" i="119"/>
  <c r="E188" i="119"/>
  <c r="E190" i="119"/>
  <c r="E191" i="119"/>
  <c r="E192" i="119"/>
  <c r="E195" i="119"/>
  <c r="E199" i="119"/>
  <c r="E200" i="119"/>
  <c r="E203" i="119"/>
  <c r="B3" i="119"/>
  <c r="J135" i="119" s="1"/>
  <c r="D188" i="119"/>
  <c r="D193" i="119"/>
  <c r="D192" i="119"/>
  <c r="D194" i="119"/>
  <c r="D195" i="119"/>
  <c r="D196" i="119"/>
  <c r="D197" i="119"/>
  <c r="D198" i="119"/>
  <c r="D199" i="119"/>
  <c r="D200" i="119"/>
  <c r="D202" i="119"/>
  <c r="D203" i="119"/>
  <c r="C183" i="119"/>
  <c r="C236" i="72"/>
  <c r="C277" i="72" s="1"/>
  <c r="C318" i="72" s="1"/>
  <c r="C238" i="72"/>
  <c r="C279" i="72" s="1"/>
  <c r="C320" i="72" s="1"/>
  <c r="D86" i="72"/>
  <c r="B86" i="72" s="1"/>
  <c r="J126" i="72"/>
  <c r="J127" i="72" s="1"/>
  <c r="J128" i="72" s="1"/>
  <c r="K126" i="72"/>
  <c r="K127" i="72" s="1"/>
  <c r="K128" i="72" s="1"/>
  <c r="D87" i="72"/>
  <c r="E130" i="72" s="1"/>
  <c r="L130" i="72"/>
  <c r="L131" i="72" s="1"/>
  <c r="D88" i="72"/>
  <c r="D90" i="72"/>
  <c r="B90" i="72" s="1"/>
  <c r="J132" i="72"/>
  <c r="J8" i="79"/>
  <c r="G15" i="79" s="1"/>
  <c r="G16" i="79" s="1"/>
  <c r="G17" i="79" s="1"/>
  <c r="G18" i="79" s="1"/>
  <c r="G19" i="79" s="1"/>
  <c r="G20" i="79" s="1"/>
  <c r="G21" i="79" s="1"/>
  <c r="G22" i="79" s="1"/>
  <c r="G23" i="79" s="1"/>
  <c r="G24" i="79" s="1"/>
  <c r="G25" i="79" s="1"/>
  <c r="G26" i="79" s="1"/>
  <c r="G27" i="79" s="1"/>
  <c r="G28" i="79" s="1"/>
  <c r="G29" i="79" s="1"/>
  <c r="G30" i="79" s="1"/>
  <c r="G31" i="79" s="1"/>
  <c r="G32" i="79" s="1"/>
  <c r="G33" i="79" s="1"/>
  <c r="G34" i="79" s="1"/>
  <c r="G35" i="79" s="1"/>
  <c r="G36" i="79" s="1"/>
  <c r="G37" i="79" s="1"/>
  <c r="G38" i="79" s="1"/>
  <c r="G39" i="79" s="1"/>
  <c r="G40" i="79" s="1"/>
  <c r="G41" i="79" s="1"/>
  <c r="G42" i="79" s="1"/>
  <c r="G43" i="79" s="1"/>
  <c r="G44" i="79" s="1"/>
  <c r="G45" i="79" s="1"/>
  <c r="G46" i="79" s="1"/>
  <c r="G47" i="79" s="1"/>
  <c r="G48" i="79" s="1"/>
  <c r="G49" i="79" s="1"/>
  <c r="G50" i="79" s="1"/>
  <c r="G51" i="79" s="1"/>
  <c r="G52" i="79" s="1"/>
  <c r="G53" i="79" s="1"/>
  <c r="G54" i="79" s="1"/>
  <c r="G55" i="79" s="1"/>
  <c r="G56" i="79" s="1"/>
  <c r="G57" i="79" s="1"/>
  <c r="G58" i="79" s="1"/>
  <c r="G59" i="79" s="1"/>
  <c r="G60" i="79" s="1"/>
  <c r="G61" i="79" s="1"/>
  <c r="G62" i="79" s="1"/>
  <c r="G63" i="79" s="1"/>
  <c r="G64" i="79" s="1"/>
  <c r="G65" i="79" s="1"/>
  <c r="G66" i="79" s="1"/>
  <c r="G67" i="79" s="1"/>
  <c r="G68" i="79" s="1"/>
  <c r="G69" i="79" s="1"/>
  <c r="G70" i="79" s="1"/>
  <c r="G71" i="79" s="1"/>
  <c r="G72" i="79" s="1"/>
  <c r="G73" i="79" s="1"/>
  <c r="G74" i="79" s="1"/>
  <c r="G75" i="79" s="1"/>
  <c r="G76" i="79" s="1"/>
  <c r="G77" i="79" s="1"/>
  <c r="G78" i="79" s="1"/>
  <c r="G79" i="79" s="1"/>
  <c r="G80" i="79" s="1"/>
  <c r="G81" i="79" s="1"/>
  <c r="G82" i="79" s="1"/>
  <c r="G83" i="79" s="1"/>
  <c r="G84" i="79" s="1"/>
  <c r="G85" i="79" s="1"/>
  <c r="G86" i="79" s="1"/>
  <c r="G87" i="79" s="1"/>
  <c r="G88" i="79" s="1"/>
  <c r="G89" i="79" s="1"/>
  <c r="G90" i="79" s="1"/>
  <c r="G91" i="79" s="1"/>
  <c r="G92" i="79" s="1"/>
  <c r="G93" i="79" s="1"/>
  <c r="G94" i="79" s="1"/>
  <c r="G95" i="79" s="1"/>
  <c r="G96" i="79" s="1"/>
  <c r="G97" i="79" s="1"/>
  <c r="G98" i="79" s="1"/>
  <c r="G99" i="79" s="1"/>
  <c r="G100" i="79" s="1"/>
  <c r="G101" i="79" s="1"/>
  <c r="G102" i="79" s="1"/>
  <c r="G103" i="79" s="1"/>
  <c r="G104" i="79" s="1"/>
  <c r="G105" i="79" s="1"/>
  <c r="G106" i="79" s="1"/>
  <c r="G107" i="79" s="1"/>
  <c r="G108" i="79" s="1"/>
  <c r="G109" i="79" s="1"/>
  <c r="G110" i="79" s="1"/>
  <c r="G111" i="79" s="1"/>
  <c r="G112" i="79" s="1"/>
  <c r="G113" i="79" s="1"/>
  <c r="G114" i="79" s="1"/>
  <c r="G115" i="79" s="1"/>
  <c r="G116" i="79" s="1"/>
  <c r="G117" i="79" s="1"/>
  <c r="G118" i="79" s="1"/>
  <c r="G119" i="79" s="1"/>
  <c r="G120" i="79" s="1"/>
  <c r="G121" i="79" s="1"/>
  <c r="G122" i="79" s="1"/>
  <c r="G123" i="79" s="1"/>
  <c r="G124" i="79" s="1"/>
  <c r="G125" i="79" s="1"/>
  <c r="G126" i="79" s="1"/>
  <c r="G127" i="79" s="1"/>
  <c r="G128" i="79" s="1"/>
  <c r="G129" i="79" s="1"/>
  <c r="G130" i="79" s="1"/>
  <c r="G131" i="79" s="1"/>
  <c r="G132" i="79" s="1"/>
  <c r="G133" i="79" s="1"/>
  <c r="G134" i="79" s="1"/>
  <c r="G135" i="79" s="1"/>
  <c r="G136" i="79" s="1"/>
  <c r="G137" i="79" s="1"/>
  <c r="G138" i="79" s="1"/>
  <c r="G139" i="79" s="1"/>
  <c r="G140" i="79" s="1"/>
  <c r="G141" i="79" s="1"/>
  <c r="G142" i="79" s="1"/>
  <c r="G143" i="79" s="1"/>
  <c r="G144" i="79" s="1"/>
  <c r="G145" i="79" s="1"/>
  <c r="G146" i="79" s="1"/>
  <c r="G147" i="79" s="1"/>
  <c r="G148" i="79" s="1"/>
  <c r="G149" i="79" s="1"/>
  <c r="G150" i="79" s="1"/>
  <c r="G151" i="79" s="1"/>
  <c r="G152" i="79" s="1"/>
  <c r="G153" i="79" s="1"/>
  <c r="G154" i="79" s="1"/>
  <c r="G155" i="79" s="1"/>
  <c r="G156" i="79" s="1"/>
  <c r="G157" i="79" s="1"/>
  <c r="G158" i="79" s="1"/>
  <c r="G159" i="79" s="1"/>
  <c r="G160" i="79" s="1"/>
  <c r="G161" i="79" s="1"/>
  <c r="G162" i="79" s="1"/>
  <c r="G163" i="79" s="1"/>
  <c r="G164" i="79" s="1"/>
  <c r="G165" i="79" s="1"/>
  <c r="G166" i="79" s="1"/>
  <c r="G167" i="79" s="1"/>
  <c r="G168" i="79" s="1"/>
  <c r="G169" i="79" s="1"/>
  <c r="G170" i="79" s="1"/>
  <c r="G171" i="79" s="1"/>
  <c r="G172" i="79" s="1"/>
  <c r="G173" i="79" s="1"/>
  <c r="G174" i="79" s="1"/>
  <c r="G175" i="79" s="1"/>
  <c r="G176" i="79" s="1"/>
  <c r="G177" i="79" s="1"/>
  <c r="G178" i="79" s="1"/>
  <c r="G179" i="79" s="1"/>
  <c r="G180" i="79" s="1"/>
  <c r="G181" i="79" s="1"/>
  <c r="G182" i="79" s="1"/>
  <c r="G183" i="79" s="1"/>
  <c r="G184" i="79" s="1"/>
  <c r="G185" i="79" s="1"/>
  <c r="G186" i="79" s="1"/>
  <c r="G187" i="79" s="1"/>
  <c r="G188" i="79" s="1"/>
  <c r="G189" i="79" s="1"/>
  <c r="G190" i="79" s="1"/>
  <c r="G191" i="79" s="1"/>
  <c r="G192" i="79" s="1"/>
  <c r="G193" i="79" s="1"/>
  <c r="G194" i="79" s="1"/>
  <c r="G195" i="79" s="1"/>
  <c r="G196" i="79" s="1"/>
  <c r="G197" i="79" s="1"/>
  <c r="G198" i="79" s="1"/>
  <c r="G199" i="79" s="1"/>
  <c r="G200" i="79" s="1"/>
  <c r="G201" i="79" s="1"/>
  <c r="G202" i="79" s="1"/>
  <c r="G203" i="79" s="1"/>
  <c r="G204" i="79" s="1"/>
  <c r="G205" i="79" s="1"/>
  <c r="G206" i="79" s="1"/>
  <c r="G207" i="79" s="1"/>
  <c r="G208" i="79" s="1"/>
  <c r="G209" i="79" s="1"/>
  <c r="G210" i="79" s="1"/>
  <c r="G211" i="79" s="1"/>
  <c r="G212" i="79" s="1"/>
  <c r="G213" i="79" s="1"/>
  <c r="G214" i="79" s="1"/>
  <c r="G215" i="79" s="1"/>
  <c r="G216" i="79" s="1"/>
  <c r="G217" i="79" s="1"/>
  <c r="G218" i="79" s="1"/>
  <c r="G219" i="79" s="1"/>
  <c r="G220" i="79" s="1"/>
  <c r="G221" i="79" s="1"/>
  <c r="G222" i="79" s="1"/>
  <c r="G223" i="79" s="1"/>
  <c r="G224" i="79" s="1"/>
  <c r="G225" i="79" s="1"/>
  <c r="G226" i="79" s="1"/>
  <c r="G227" i="79" s="1"/>
  <c r="G228" i="79" s="1"/>
  <c r="G229" i="79" s="1"/>
  <c r="G230" i="79" s="1"/>
  <c r="G231" i="79" s="1"/>
  <c r="G232" i="79" s="1"/>
  <c r="G233" i="79" s="1"/>
  <c r="G234" i="79" s="1"/>
  <c r="G235" i="79" s="1"/>
  <c r="G236" i="79" s="1"/>
  <c r="G237" i="79" s="1"/>
  <c r="G238" i="79" s="1"/>
  <c r="G239" i="79" s="1"/>
  <c r="G240" i="79" s="1"/>
  <c r="G241" i="79" s="1"/>
  <c r="G242" i="79" s="1"/>
  <c r="G243" i="79" s="1"/>
  <c r="G244" i="79" s="1"/>
  <c r="G245" i="79" s="1"/>
  <c r="G246" i="79" s="1"/>
  <c r="G247" i="79" s="1"/>
  <c r="G248" i="79" s="1"/>
  <c r="G249" i="79" s="1"/>
  <c r="G250" i="79" s="1"/>
  <c r="G251" i="79" s="1"/>
  <c r="G252" i="79" s="1"/>
  <c r="G253" i="79" s="1"/>
  <c r="G254" i="79" s="1"/>
  <c r="G255" i="79" s="1"/>
  <c r="G256" i="79" s="1"/>
  <c r="G257" i="79" s="1"/>
  <c r="G258" i="79" s="1"/>
  <c r="G259" i="79" s="1"/>
  <c r="G260" i="79" s="1"/>
  <c r="G261" i="79" s="1"/>
  <c r="G262" i="79" s="1"/>
  <c r="G263" i="79" s="1"/>
  <c r="G264" i="79" s="1"/>
  <c r="G265" i="79" s="1"/>
  <c r="G266" i="79" s="1"/>
  <c r="G267" i="79" s="1"/>
  <c r="G268" i="79" s="1"/>
  <c r="G269" i="79" s="1"/>
  <c r="G270" i="79" s="1"/>
  <c r="G271" i="79" s="1"/>
  <c r="G272" i="79" s="1"/>
  <c r="G273" i="79" s="1"/>
  <c r="G274" i="79" s="1"/>
  <c r="G275" i="79" s="1"/>
  <c r="G276" i="79" s="1"/>
  <c r="G277" i="79" s="1"/>
  <c r="G278" i="79" s="1"/>
  <c r="G279" i="79" s="1"/>
  <c r="G280" i="79" s="1"/>
  <c r="G281" i="79" s="1"/>
  <c r="G282" i="79" s="1"/>
  <c r="G283" i="79" s="1"/>
  <c r="G284" i="79" s="1"/>
  <c r="G285" i="79" s="1"/>
  <c r="G286" i="79" s="1"/>
  <c r="G287" i="79" s="1"/>
  <c r="G288" i="79" s="1"/>
  <c r="G289" i="79" s="1"/>
  <c r="G290" i="79" s="1"/>
  <c r="G291" i="79" s="1"/>
  <c r="G292" i="79" s="1"/>
  <c r="G293" i="79" s="1"/>
  <c r="G294" i="79" s="1"/>
  <c r="G295" i="79" s="1"/>
  <c r="G296" i="79" s="1"/>
  <c r="G297" i="79" s="1"/>
  <c r="G298" i="79" s="1"/>
  <c r="G299" i="79" s="1"/>
  <c r="G300" i="79" s="1"/>
  <c r="G301" i="79" s="1"/>
  <c r="G302" i="79" s="1"/>
  <c r="G303" i="79" s="1"/>
  <c r="G304" i="79" s="1"/>
  <c r="G305" i="79" s="1"/>
  <c r="G306" i="79" s="1"/>
  <c r="G307" i="79" s="1"/>
  <c r="G308" i="79" s="1"/>
  <c r="G309" i="79" s="1"/>
  <c r="G310" i="79" s="1"/>
  <c r="G311" i="79" s="1"/>
  <c r="G312" i="79" s="1"/>
  <c r="G313" i="79" s="1"/>
  <c r="G314" i="79" s="1"/>
  <c r="G315" i="79" s="1"/>
  <c r="G316" i="79" s="1"/>
  <c r="G317" i="79" s="1"/>
  <c r="G318" i="79" s="1"/>
  <c r="G319" i="79" s="1"/>
  <c r="G320" i="79" s="1"/>
  <c r="G321" i="79" s="1"/>
  <c r="G322" i="79" s="1"/>
  <c r="G323" i="79" s="1"/>
  <c r="G324" i="79" s="1"/>
  <c r="G325" i="79" s="1"/>
  <c r="G326" i="79" s="1"/>
  <c r="G327" i="79" s="1"/>
  <c r="G328" i="79" s="1"/>
  <c r="G329" i="79" s="1"/>
  <c r="G330" i="79" s="1"/>
  <c r="G331" i="79" s="1"/>
  <c r="G332" i="79" s="1"/>
  <c r="G333" i="79" s="1"/>
  <c r="G334" i="79" s="1"/>
  <c r="G335" i="79" s="1"/>
  <c r="G336" i="79" s="1"/>
  <c r="G337" i="79" s="1"/>
  <c r="G338" i="79" s="1"/>
  <c r="G339" i="79" s="1"/>
  <c r="G340" i="79" s="1"/>
  <c r="G341" i="79" s="1"/>
  <c r="G342" i="79" s="1"/>
  <c r="G343" i="79" s="1"/>
  <c r="G344" i="79" s="1"/>
  <c r="G345" i="79" s="1"/>
  <c r="G346" i="79" s="1"/>
  <c r="G347" i="79" s="1"/>
  <c r="G348" i="79" s="1"/>
  <c r="G349" i="79" s="1"/>
  <c r="G350" i="79" s="1"/>
  <c r="G351" i="79" s="1"/>
  <c r="G352" i="79" s="1"/>
  <c r="G353" i="79" s="1"/>
  <c r="G354" i="79" s="1"/>
  <c r="G355" i="79" s="1"/>
  <c r="G356" i="79" s="1"/>
  <c r="G357" i="79" s="1"/>
  <c r="G358" i="79" s="1"/>
  <c r="G359" i="79" s="1"/>
  <c r="G360" i="79" s="1"/>
  <c r="G361" i="79" s="1"/>
  <c r="G362" i="79" s="1"/>
  <c r="G363" i="79" s="1"/>
  <c r="G364" i="79" s="1"/>
  <c r="G365" i="79" s="1"/>
  <c r="G366" i="79" s="1"/>
  <c r="G367" i="79" s="1"/>
  <c r="G368" i="79" s="1"/>
  <c r="G369" i="79" s="1"/>
  <c r="G370" i="79" s="1"/>
  <c r="G371" i="79" s="1"/>
  <c r="G372" i="79" s="1"/>
  <c r="G373" i="79" s="1"/>
  <c r="L132" i="72"/>
  <c r="D92" i="72"/>
  <c r="J133" i="72"/>
  <c r="P7" i="79" s="1"/>
  <c r="K133" i="72"/>
  <c r="D93" i="72"/>
  <c r="J134" i="72"/>
  <c r="D94" i="72"/>
  <c r="J135" i="72"/>
  <c r="C95" i="72"/>
  <c r="E136" i="72" s="1"/>
  <c r="C248" i="72" s="1"/>
  <c r="C289" i="72" s="1"/>
  <c r="C330" i="72" s="1"/>
  <c r="J136" i="72"/>
  <c r="V7" i="79" s="1"/>
  <c r="C96" i="72"/>
  <c r="E137" i="72" s="1"/>
  <c r="J137" i="72"/>
  <c r="E138" i="72"/>
  <c r="D98" i="72"/>
  <c r="D99" i="72"/>
  <c r="C184" i="119"/>
  <c r="C186" i="119"/>
  <c r="C187" i="119"/>
  <c r="C188" i="119"/>
  <c r="C189" i="119"/>
  <c r="J189" i="119" s="1"/>
  <c r="C190" i="119"/>
  <c r="C191" i="119"/>
  <c r="J191" i="119" s="1"/>
  <c r="C199" i="119"/>
  <c r="C200" i="119"/>
  <c r="F89" i="73"/>
  <c r="F92" i="73"/>
  <c r="F62" i="73"/>
  <c r="F63" i="73"/>
  <c r="F64" i="73"/>
  <c r="F65" i="73"/>
  <c r="F66" i="73"/>
  <c r="F67" i="73"/>
  <c r="F68" i="73"/>
  <c r="F69" i="73"/>
  <c r="F73" i="73"/>
  <c r="F74" i="73"/>
  <c r="F75" i="73"/>
  <c r="F76" i="73"/>
  <c r="F100" i="73"/>
  <c r="F101" i="73"/>
  <c r="F102" i="73"/>
  <c r="F103" i="73"/>
  <c r="R33" i="118"/>
  <c r="S33" i="118" s="1"/>
  <c r="R34" i="118"/>
  <c r="S34" i="118" s="1"/>
  <c r="R35" i="118"/>
  <c r="S35" i="118" s="1"/>
  <c r="R36" i="118"/>
  <c r="S36" i="118" s="1"/>
  <c r="R37" i="118"/>
  <c r="S37" i="118" s="1"/>
  <c r="R38" i="118"/>
  <c r="S38" i="118" s="1"/>
  <c r="R39" i="118"/>
  <c r="S39" i="118" s="1"/>
  <c r="R40" i="118"/>
  <c r="S40" i="118" s="1"/>
  <c r="R41" i="118"/>
  <c r="S41" i="118" s="1"/>
  <c r="R42" i="118"/>
  <c r="S42" i="118" s="1"/>
  <c r="R43" i="118"/>
  <c r="S43" i="118" s="1"/>
  <c r="R44" i="118"/>
  <c r="S44" i="118" s="1"/>
  <c r="I45" i="118"/>
  <c r="J45" i="118" s="1"/>
  <c r="L45" i="118" s="1"/>
  <c r="N45" i="118" s="1"/>
  <c r="R45" i="118"/>
  <c r="S45" i="118" s="1"/>
  <c r="I46" i="118"/>
  <c r="J46" i="118" s="1"/>
  <c r="R46" i="118"/>
  <c r="S46" i="118" s="1"/>
  <c r="I47" i="118"/>
  <c r="J47" i="118" s="1"/>
  <c r="L47" i="118" s="1"/>
  <c r="N47" i="118" s="1"/>
  <c r="R47" i="118"/>
  <c r="S47" i="118" s="1"/>
  <c r="I48" i="118"/>
  <c r="J48" i="118" s="1"/>
  <c r="L48" i="118" s="1"/>
  <c r="N48" i="118" s="1"/>
  <c r="R48" i="118"/>
  <c r="S48" i="118" s="1"/>
  <c r="I49" i="118"/>
  <c r="J49" i="118" s="1"/>
  <c r="L49" i="118" s="1"/>
  <c r="N49" i="118" s="1"/>
  <c r="R49" i="118"/>
  <c r="S49" i="118" s="1"/>
  <c r="I50" i="118"/>
  <c r="J50" i="118" s="1"/>
  <c r="L50" i="118" s="1"/>
  <c r="N50" i="118" s="1"/>
  <c r="R50" i="118"/>
  <c r="S50" i="118" s="1"/>
  <c r="I51" i="118"/>
  <c r="J51" i="118" s="1"/>
  <c r="L51" i="118" s="1"/>
  <c r="N51" i="118" s="1"/>
  <c r="R51" i="118"/>
  <c r="S51" i="118" s="1"/>
  <c r="I52" i="118"/>
  <c r="J52" i="118" s="1"/>
  <c r="L52" i="118" s="1"/>
  <c r="N52" i="118" s="1"/>
  <c r="R52" i="118"/>
  <c r="S52" i="118" s="1"/>
  <c r="I53" i="118"/>
  <c r="J53" i="118" s="1"/>
  <c r="R53" i="118"/>
  <c r="S53" i="118" s="1"/>
  <c r="I54" i="118"/>
  <c r="J54" i="118" s="1"/>
  <c r="R54" i="118"/>
  <c r="S54" i="118" s="1"/>
  <c r="I55" i="118"/>
  <c r="J55" i="118" s="1"/>
  <c r="L55" i="118" s="1"/>
  <c r="N55" i="118" s="1"/>
  <c r="R55" i="118"/>
  <c r="S55" i="118" s="1"/>
  <c r="D47" i="119"/>
  <c r="D46" i="119"/>
  <c r="D45" i="119"/>
  <c r="D44" i="119"/>
  <c r="H44" i="119" s="1"/>
  <c r="D48" i="119"/>
  <c r="H45" i="119" s="1"/>
  <c r="C352" i="119"/>
  <c r="H352" i="119" s="1"/>
  <c r="C348" i="119"/>
  <c r="H348" i="119" s="1"/>
  <c r="C347" i="119"/>
  <c r="H347" i="119" s="1"/>
  <c r="C346" i="119"/>
  <c r="H346" i="119" s="1"/>
  <c r="C341" i="119"/>
  <c r="H341" i="119" s="1"/>
  <c r="C340" i="119"/>
  <c r="H340" i="119" s="1"/>
  <c r="C339" i="119"/>
  <c r="H339" i="119" s="1"/>
  <c r="C338" i="119"/>
  <c r="H338" i="119" s="1"/>
  <c r="C335" i="119"/>
  <c r="H335" i="119" s="1"/>
  <c r="C334" i="119"/>
  <c r="H334" i="119" s="1"/>
  <c r="C333" i="119"/>
  <c r="H333" i="119" s="1"/>
  <c r="C329" i="119"/>
  <c r="H329" i="119" s="1"/>
  <c r="C328" i="119"/>
  <c r="H328" i="119" s="1"/>
  <c r="C327" i="119"/>
  <c r="H327" i="119" s="1"/>
  <c r="C326" i="119"/>
  <c r="H326" i="119" s="1"/>
  <c r="C325" i="119"/>
  <c r="H325" i="119" s="1"/>
  <c r="C324" i="119"/>
  <c r="H324" i="119" s="1"/>
  <c r="C323" i="119"/>
  <c r="H323" i="119" s="1"/>
  <c r="C322" i="119"/>
  <c r="H322" i="119" s="1"/>
  <c r="C321" i="119"/>
  <c r="H321" i="119" s="1"/>
  <c r="C320" i="119"/>
  <c r="H320" i="119" s="1"/>
  <c r="C316" i="119"/>
  <c r="H316" i="119" s="1"/>
  <c r="C315" i="119"/>
  <c r="H315" i="119" s="1"/>
  <c r="C314" i="119"/>
  <c r="H314" i="119" s="1"/>
  <c r="C312" i="119"/>
  <c r="H312" i="119" s="1"/>
  <c r="C311" i="119"/>
  <c r="H311" i="119" s="1"/>
  <c r="C310" i="119"/>
  <c r="H310" i="119" s="1"/>
  <c r="C309" i="119"/>
  <c r="H309" i="119" s="1"/>
  <c r="C308" i="119"/>
  <c r="H308" i="119" s="1"/>
  <c r="C307" i="119"/>
  <c r="H307" i="119" s="1"/>
  <c r="C306" i="119"/>
  <c r="H306" i="119" s="1"/>
  <c r="C290" i="119"/>
  <c r="E176" i="119"/>
  <c r="D176" i="119"/>
  <c r="E171" i="119"/>
  <c r="D171" i="119"/>
  <c r="E165" i="119"/>
  <c r="D165" i="119"/>
  <c r="E159" i="119"/>
  <c r="D159" i="119"/>
  <c r="E151" i="119"/>
  <c r="D151" i="119"/>
  <c r="D145" i="119"/>
  <c r="E145" i="119"/>
  <c r="B2" i="119"/>
  <c r="M1" i="4"/>
  <c r="P126" i="72"/>
  <c r="Q126" i="72" s="1"/>
  <c r="C23" i="57"/>
  <c r="U167" i="72"/>
  <c r="C275" i="119" s="1"/>
  <c r="M275" i="119" s="1"/>
  <c r="U165" i="72"/>
  <c r="C273" i="119" s="1"/>
  <c r="M273" i="119" s="1"/>
  <c r="C391" i="119"/>
  <c r="I391" i="119" s="1"/>
  <c r="C390" i="119"/>
  <c r="I390" i="119" s="1"/>
  <c r="C389" i="119"/>
  <c r="I389" i="119" s="1"/>
  <c r="C388" i="119"/>
  <c r="I388" i="119" s="1"/>
  <c r="C387" i="119"/>
  <c r="I387" i="119" s="1"/>
  <c r="C386" i="119"/>
  <c r="I386" i="119" s="1"/>
  <c r="C385" i="119"/>
  <c r="I385" i="119" s="1"/>
  <c r="C384" i="119"/>
  <c r="I384" i="119" s="1"/>
  <c r="C383" i="119"/>
  <c r="I383" i="119" s="1"/>
  <c r="C382" i="119"/>
  <c r="I382" i="119" s="1"/>
  <c r="C381" i="119"/>
  <c r="I381" i="119" s="1"/>
  <c r="C380" i="119"/>
  <c r="I380" i="119" s="1"/>
  <c r="C379" i="119"/>
  <c r="I379" i="119" s="1"/>
  <c r="C378" i="119"/>
  <c r="I378" i="119" s="1"/>
  <c r="C377" i="119"/>
  <c r="I377" i="119" s="1"/>
  <c r="E170" i="119"/>
  <c r="D170" i="119"/>
  <c r="I170" i="119" s="1"/>
  <c r="E172" i="119"/>
  <c r="D172" i="119"/>
  <c r="I172" i="119" s="1"/>
  <c r="D386" i="114"/>
  <c r="C18" i="119"/>
  <c r="I35" i="119" s="1"/>
  <c r="I194" i="119"/>
  <c r="I193" i="119"/>
  <c r="I192" i="119"/>
  <c r="I191" i="119"/>
  <c r="I190" i="119"/>
  <c r="I189" i="119"/>
  <c r="C21" i="119"/>
  <c r="M21" i="119" s="1"/>
  <c r="C12" i="119"/>
  <c r="M12" i="119" s="1"/>
  <c r="C13" i="119"/>
  <c r="C25" i="119"/>
  <c r="C24" i="119"/>
  <c r="I24" i="119" s="1"/>
  <c r="C23" i="119"/>
  <c r="I23" i="119" s="1"/>
  <c r="C20" i="119"/>
  <c r="M20" i="119" s="1"/>
  <c r="C19" i="119"/>
  <c r="I19" i="119" s="1"/>
  <c r="C16" i="119"/>
  <c r="I16" i="119" s="1"/>
  <c r="C30" i="119"/>
  <c r="C29" i="119"/>
  <c r="C28" i="119"/>
  <c r="C27" i="119"/>
  <c r="C26" i="119"/>
  <c r="C22" i="119"/>
  <c r="I22" i="119" s="1"/>
  <c r="C15" i="119"/>
  <c r="M15" i="119" s="1"/>
  <c r="C14" i="119"/>
  <c r="M14" i="119" s="1"/>
  <c r="C11" i="119"/>
  <c r="I11" i="119" s="1"/>
  <c r="D187" i="119"/>
  <c r="D186" i="119"/>
  <c r="D233" i="119"/>
  <c r="D234" i="119"/>
  <c r="D235" i="119"/>
  <c r="I235" i="119" s="1"/>
  <c r="D236" i="119"/>
  <c r="N236" i="119" s="1"/>
  <c r="D237" i="119"/>
  <c r="N237" i="119" s="1"/>
  <c r="D238" i="119"/>
  <c r="N238" i="119" s="1"/>
  <c r="D239" i="119"/>
  <c r="I239" i="119" s="1"/>
  <c r="D240" i="119"/>
  <c r="I240" i="119" s="1"/>
  <c r="D241" i="119"/>
  <c r="N241" i="119" s="1"/>
  <c r="D242" i="119"/>
  <c r="D243" i="119"/>
  <c r="I243" i="119" s="1"/>
  <c r="D244" i="119"/>
  <c r="I244" i="119" s="1"/>
  <c r="D245" i="119"/>
  <c r="N245" i="119" s="1"/>
  <c r="D246" i="119"/>
  <c r="N246" i="119" s="1"/>
  <c r="D247" i="119"/>
  <c r="I247" i="119" s="1"/>
  <c r="D248" i="119"/>
  <c r="I248" i="119" s="1"/>
  <c r="D249" i="119"/>
  <c r="N249" i="119" s="1"/>
  <c r="D250" i="119"/>
  <c r="D251" i="119"/>
  <c r="N251" i="119" s="1"/>
  <c r="D252" i="119"/>
  <c r="I252" i="119" s="1"/>
  <c r="D253" i="119"/>
  <c r="I253" i="119" s="1"/>
  <c r="D254" i="119"/>
  <c r="I254" i="119" s="1"/>
  <c r="D232" i="119"/>
  <c r="N232" i="119" s="1"/>
  <c r="C233" i="119"/>
  <c r="C234" i="119"/>
  <c r="H234" i="119" s="1"/>
  <c r="C235" i="119"/>
  <c r="C236" i="119"/>
  <c r="H236" i="119" s="1"/>
  <c r="C237" i="119"/>
  <c r="M237" i="119" s="1"/>
  <c r="C238" i="119"/>
  <c r="M238" i="119" s="1"/>
  <c r="C239" i="119"/>
  <c r="H239" i="119" s="1"/>
  <c r="C240" i="119"/>
  <c r="H240" i="119" s="1"/>
  <c r="C241" i="119"/>
  <c r="C242" i="119"/>
  <c r="M242" i="119" s="1"/>
  <c r="C243" i="119"/>
  <c r="C244" i="119"/>
  <c r="H244" i="119" s="1"/>
  <c r="C245" i="119"/>
  <c r="M245" i="119" s="1"/>
  <c r="C246" i="119"/>
  <c r="M246" i="119" s="1"/>
  <c r="C247" i="119"/>
  <c r="H247" i="119" s="1"/>
  <c r="C248" i="119"/>
  <c r="H248" i="119" s="1"/>
  <c r="C249" i="119"/>
  <c r="H249" i="119" s="1"/>
  <c r="C250" i="119"/>
  <c r="C251" i="119"/>
  <c r="M251" i="119" s="1"/>
  <c r="C252" i="119"/>
  <c r="H252" i="119" s="1"/>
  <c r="C253" i="119"/>
  <c r="H253" i="119" s="1"/>
  <c r="C254" i="119"/>
  <c r="H254" i="119" s="1"/>
  <c r="C232" i="119"/>
  <c r="H232" i="119" s="1"/>
  <c r="B233" i="119"/>
  <c r="L233" i="119" s="1"/>
  <c r="B234" i="119"/>
  <c r="B235" i="119"/>
  <c r="L235" i="119" s="1"/>
  <c r="B236" i="119"/>
  <c r="B237" i="119"/>
  <c r="L237" i="119" s="1"/>
  <c r="B238" i="119"/>
  <c r="G238" i="119" s="1"/>
  <c r="B239" i="119"/>
  <c r="L239" i="119" s="1"/>
  <c r="B240" i="119"/>
  <c r="L240" i="119" s="1"/>
  <c r="B241" i="119"/>
  <c r="G241" i="119" s="1"/>
  <c r="B242" i="119"/>
  <c r="B243" i="119"/>
  <c r="B244" i="119"/>
  <c r="B245" i="119"/>
  <c r="G245" i="119" s="1"/>
  <c r="B246" i="119"/>
  <c r="L246" i="119" s="1"/>
  <c r="B247" i="119"/>
  <c r="G247" i="119" s="1"/>
  <c r="B248" i="119"/>
  <c r="L248" i="119" s="1"/>
  <c r="B249" i="119"/>
  <c r="L249" i="119" s="1"/>
  <c r="B250" i="119"/>
  <c r="L250" i="119" s="1"/>
  <c r="B251" i="119"/>
  <c r="B252" i="119"/>
  <c r="B253" i="119"/>
  <c r="G253" i="119" s="1"/>
  <c r="B254" i="119"/>
  <c r="G254" i="119" s="1"/>
  <c r="B232" i="119"/>
  <c r="L232" i="119" s="1"/>
  <c r="D184" i="119"/>
  <c r="E149" i="119"/>
  <c r="E155" i="119"/>
  <c r="E160" i="119"/>
  <c r="E161" i="119"/>
  <c r="E162" i="119"/>
  <c r="E163" i="119"/>
  <c r="E164" i="119"/>
  <c r="E166" i="119"/>
  <c r="E167" i="119"/>
  <c r="E168" i="119"/>
  <c r="E169" i="119"/>
  <c r="D175" i="119"/>
  <c r="D174" i="119"/>
  <c r="D173" i="119"/>
  <c r="I173" i="119" s="1"/>
  <c r="D169" i="119"/>
  <c r="I169" i="119" s="1"/>
  <c r="D168" i="119"/>
  <c r="I168" i="119" s="1"/>
  <c r="D167" i="119"/>
  <c r="I167" i="119" s="1"/>
  <c r="D166" i="119"/>
  <c r="I166" i="119" s="1"/>
  <c r="D162" i="119"/>
  <c r="I162" i="119" s="1"/>
  <c r="D161" i="119"/>
  <c r="I161" i="119" s="1"/>
  <c r="D158" i="119"/>
  <c r="I158" i="119" s="1"/>
  <c r="D157" i="119"/>
  <c r="I157" i="119" s="1"/>
  <c r="D156" i="119"/>
  <c r="I156" i="119" s="1"/>
  <c r="D155" i="119"/>
  <c r="I155" i="119" s="1"/>
  <c r="D154" i="119"/>
  <c r="I154" i="119" s="1"/>
  <c r="D153" i="119"/>
  <c r="I153" i="119" s="1"/>
  <c r="D152" i="119"/>
  <c r="I152" i="119" s="1"/>
  <c r="D150" i="119"/>
  <c r="I150" i="119" s="1"/>
  <c r="D149" i="119"/>
  <c r="I149" i="119" s="1"/>
  <c r="D148" i="119"/>
  <c r="I148" i="119" s="1"/>
  <c r="D147" i="119"/>
  <c r="I147" i="119" s="1"/>
  <c r="D146" i="119"/>
  <c r="I146" i="119" s="1"/>
  <c r="D144" i="119"/>
  <c r="I144" i="119" s="1"/>
  <c r="D143" i="119"/>
  <c r="I143" i="119" s="1"/>
  <c r="D142" i="119"/>
  <c r="I142" i="119" s="1"/>
  <c r="D141" i="119"/>
  <c r="I141" i="119" s="1"/>
  <c r="D140" i="119"/>
  <c r="I140" i="119" s="1"/>
  <c r="D139" i="119"/>
  <c r="I139" i="119" s="1"/>
  <c r="D138" i="119"/>
  <c r="I138" i="119" s="1"/>
  <c r="D137" i="119"/>
  <c r="I137" i="119" s="1"/>
  <c r="D136" i="119"/>
  <c r="I136" i="119" s="1"/>
  <c r="D134" i="119"/>
  <c r="I134" i="119" s="1"/>
  <c r="D77" i="119"/>
  <c r="D76" i="119"/>
  <c r="D75" i="119"/>
  <c r="O54" i="119" s="1"/>
  <c r="D74" i="119"/>
  <c r="D73" i="119"/>
  <c r="D72" i="119"/>
  <c r="D71" i="119"/>
  <c r="D70" i="119"/>
  <c r="D69" i="119"/>
  <c r="H52" i="119" s="1"/>
  <c r="D68" i="119"/>
  <c r="D67" i="119"/>
  <c r="D66" i="119"/>
  <c r="H51" i="119" s="1"/>
  <c r="D65" i="119"/>
  <c r="D64" i="119"/>
  <c r="D63" i="119"/>
  <c r="O50" i="119" s="1"/>
  <c r="D62" i="119"/>
  <c r="D61" i="119"/>
  <c r="D60" i="119"/>
  <c r="O49" i="119" s="1"/>
  <c r="T49" i="119" s="1"/>
  <c r="D59" i="119"/>
  <c r="D58" i="119"/>
  <c r="D57" i="119"/>
  <c r="O48" i="119" s="1"/>
  <c r="D56" i="119"/>
  <c r="D55" i="119"/>
  <c r="D54" i="119"/>
  <c r="H47" i="119" s="1"/>
  <c r="D53" i="119"/>
  <c r="D52" i="119"/>
  <c r="D51" i="119"/>
  <c r="O46" i="119" s="1"/>
  <c r="D50" i="119"/>
  <c r="D49" i="119"/>
  <c r="D56" i="44"/>
  <c r="E56" i="44" s="1"/>
  <c r="I39" i="118"/>
  <c r="J39" i="118" s="1"/>
  <c r="L39" i="118" s="1"/>
  <c r="N39" i="118" s="1"/>
  <c r="I36" i="118"/>
  <c r="J36" i="118" s="1"/>
  <c r="L36" i="118" s="1"/>
  <c r="N36" i="118" s="1"/>
  <c r="F121" i="103"/>
  <c r="J121" i="103" s="1"/>
  <c r="B121" i="103"/>
  <c r="J7" i="103"/>
  <c r="J8" i="103"/>
  <c r="J9" i="103"/>
  <c r="J10" i="103"/>
  <c r="J11" i="103"/>
  <c r="J12" i="103"/>
  <c r="J13" i="103"/>
  <c r="J14" i="103"/>
  <c r="J15" i="103"/>
  <c r="J16" i="103"/>
  <c r="J17" i="103"/>
  <c r="J18" i="103"/>
  <c r="J19" i="103"/>
  <c r="J20" i="103"/>
  <c r="J21" i="103"/>
  <c r="J22" i="103"/>
  <c r="J23" i="103"/>
  <c r="J24" i="103"/>
  <c r="J25" i="103"/>
  <c r="J26" i="103"/>
  <c r="J27" i="103"/>
  <c r="J28" i="103"/>
  <c r="J29" i="103"/>
  <c r="J30" i="103"/>
  <c r="J31" i="103"/>
  <c r="J32" i="103"/>
  <c r="J33" i="103"/>
  <c r="J34" i="103"/>
  <c r="J35" i="103"/>
  <c r="J36" i="103"/>
  <c r="J37" i="103"/>
  <c r="J38" i="103"/>
  <c r="J39" i="103"/>
  <c r="J40" i="103"/>
  <c r="J41" i="103"/>
  <c r="J42" i="103"/>
  <c r="J43" i="103"/>
  <c r="J44" i="103"/>
  <c r="J45" i="103"/>
  <c r="J46" i="103"/>
  <c r="J47" i="103"/>
  <c r="J48" i="103"/>
  <c r="J49" i="103"/>
  <c r="J50" i="103"/>
  <c r="J51" i="103"/>
  <c r="J52" i="103"/>
  <c r="J53" i="103"/>
  <c r="J54" i="103"/>
  <c r="J55" i="103"/>
  <c r="J56" i="103"/>
  <c r="J57" i="103"/>
  <c r="J58" i="103"/>
  <c r="J59" i="103"/>
  <c r="J60" i="103"/>
  <c r="J61" i="103"/>
  <c r="J62" i="103"/>
  <c r="J63" i="103"/>
  <c r="J64" i="103"/>
  <c r="J65" i="103"/>
  <c r="J66" i="103"/>
  <c r="J67" i="103"/>
  <c r="J68" i="103"/>
  <c r="J69" i="103"/>
  <c r="J70" i="103"/>
  <c r="J71" i="103"/>
  <c r="J72" i="103"/>
  <c r="J73" i="103"/>
  <c r="J74" i="103"/>
  <c r="J75" i="103"/>
  <c r="J76" i="103"/>
  <c r="J77" i="103"/>
  <c r="J78" i="103"/>
  <c r="J79" i="103"/>
  <c r="J80" i="103"/>
  <c r="J81" i="103"/>
  <c r="J82" i="103"/>
  <c r="J83" i="103"/>
  <c r="J84" i="103"/>
  <c r="J85" i="103"/>
  <c r="J86" i="103"/>
  <c r="J87" i="103"/>
  <c r="J88" i="103"/>
  <c r="J89" i="103"/>
  <c r="J90" i="103"/>
  <c r="J91" i="103"/>
  <c r="J92" i="103"/>
  <c r="J93" i="103"/>
  <c r="J94" i="103"/>
  <c r="J95" i="103"/>
  <c r="J96" i="103"/>
  <c r="J97" i="103"/>
  <c r="J98" i="103"/>
  <c r="J99" i="103"/>
  <c r="J100" i="103"/>
  <c r="J101" i="103"/>
  <c r="J102" i="103"/>
  <c r="J103" i="103"/>
  <c r="J104" i="103"/>
  <c r="J105" i="103"/>
  <c r="J106" i="103"/>
  <c r="J107" i="103"/>
  <c r="J108" i="103"/>
  <c r="J109" i="103"/>
  <c r="J110" i="103"/>
  <c r="J111" i="103"/>
  <c r="J112" i="103"/>
  <c r="J113" i="103"/>
  <c r="J114" i="103"/>
  <c r="J115" i="103"/>
  <c r="J116" i="103"/>
  <c r="J117" i="103"/>
  <c r="J118" i="103"/>
  <c r="J119" i="103"/>
  <c r="L187" i="72"/>
  <c r="M187" i="72" s="1"/>
  <c r="J187" i="72"/>
  <c r="K185" i="72"/>
  <c r="K10" i="72" s="1"/>
  <c r="J184" i="72"/>
  <c r="I184" i="72" s="1"/>
  <c r="J183" i="72"/>
  <c r="L182" i="72"/>
  <c r="M182" i="72" s="1"/>
  <c r="B125" i="113"/>
  <c r="E85" i="42"/>
  <c r="D219" i="119" s="1"/>
  <c r="H219" i="119" s="1"/>
  <c r="M219" i="119" s="1"/>
  <c r="B76" i="42"/>
  <c r="B77" i="42" s="1"/>
  <c r="B78" i="42" s="1"/>
  <c r="B79" i="42" s="1"/>
  <c r="B80" i="42" s="1"/>
  <c r="B81" i="42" s="1"/>
  <c r="B82" i="42" s="1"/>
  <c r="B83" i="42" s="1"/>
  <c r="B84" i="42" s="1"/>
  <c r="B62" i="42"/>
  <c r="B63" i="42" s="1"/>
  <c r="B64" i="42" s="1"/>
  <c r="B65" i="42" s="1"/>
  <c r="B66" i="42" s="1"/>
  <c r="B67" i="42" s="1"/>
  <c r="B68" i="42" s="1"/>
  <c r="B69" i="42" s="1"/>
  <c r="B70" i="42" s="1"/>
  <c r="B49" i="42"/>
  <c r="B50" i="42" s="1"/>
  <c r="B51" i="42" s="1"/>
  <c r="B52" i="42" s="1"/>
  <c r="B53" i="42" s="1"/>
  <c r="B54" i="42" s="1"/>
  <c r="B55" i="42" s="1"/>
  <c r="B56" i="42" s="1"/>
  <c r="B57" i="42" s="1"/>
  <c r="B35" i="42"/>
  <c r="B36" i="42" s="1"/>
  <c r="B37" i="42" s="1"/>
  <c r="B38" i="42" s="1"/>
  <c r="B39" i="42" s="1"/>
  <c r="B40" i="42" s="1"/>
  <c r="B41" i="42" s="1"/>
  <c r="B42" i="42" s="1"/>
  <c r="B43" i="42" s="1"/>
  <c r="B21" i="42"/>
  <c r="B22" i="42" s="1"/>
  <c r="B23" i="42" s="1"/>
  <c r="B24" i="42" s="1"/>
  <c r="B25" i="42" s="1"/>
  <c r="B26" i="42" s="1"/>
  <c r="B27" i="42" s="1"/>
  <c r="B28" i="42" s="1"/>
  <c r="B29" i="42" s="1"/>
  <c r="B7" i="42"/>
  <c r="B8" i="42" s="1"/>
  <c r="B9" i="42" s="1"/>
  <c r="B10" i="42" s="1"/>
  <c r="B11" i="42" s="1"/>
  <c r="B12" i="42" s="1"/>
  <c r="B13" i="42" s="1"/>
  <c r="B14" i="42" s="1"/>
  <c r="B15" i="42" s="1"/>
  <c r="B65" i="71"/>
  <c r="B66" i="71" s="1"/>
  <c r="B67" i="71" s="1"/>
  <c r="B68" i="71" s="1"/>
  <c r="B69" i="71" s="1"/>
  <c r="B70" i="71" s="1"/>
  <c r="B71" i="71" s="1"/>
  <c r="B72" i="71" s="1"/>
  <c r="B73" i="71" s="1"/>
  <c r="B51" i="71"/>
  <c r="B52" i="71" s="1"/>
  <c r="B53" i="71" s="1"/>
  <c r="B54" i="71" s="1"/>
  <c r="B55" i="71" s="1"/>
  <c r="B56" i="71" s="1"/>
  <c r="B57" i="71" s="1"/>
  <c r="B58" i="71" s="1"/>
  <c r="B59" i="71" s="1"/>
  <c r="B37" i="71"/>
  <c r="B38" i="71" s="1"/>
  <c r="B39" i="71" s="1"/>
  <c r="B40" i="71" s="1"/>
  <c r="B41" i="71" s="1"/>
  <c r="B42" i="71" s="1"/>
  <c r="B43" i="71" s="1"/>
  <c r="B44" i="71" s="1"/>
  <c r="B45" i="71" s="1"/>
  <c r="B23" i="71"/>
  <c r="B24" i="71" s="1"/>
  <c r="B25" i="71" s="1"/>
  <c r="B26" i="71" s="1"/>
  <c r="B27" i="71" s="1"/>
  <c r="B28" i="71" s="1"/>
  <c r="B29" i="71" s="1"/>
  <c r="B30" i="71" s="1"/>
  <c r="B31" i="71" s="1"/>
  <c r="E18" i="71"/>
  <c r="C31" i="57" s="1"/>
  <c r="B9" i="71"/>
  <c r="B10" i="71" s="1"/>
  <c r="B11" i="71" s="1"/>
  <c r="B12" i="71" s="1"/>
  <c r="B13" i="71" s="1"/>
  <c r="B14" i="71" s="1"/>
  <c r="B15" i="71" s="1"/>
  <c r="B16" i="71" s="1"/>
  <c r="B17" i="71" s="1"/>
  <c r="H27" i="118"/>
  <c r="N67" i="118"/>
  <c r="N61" i="118"/>
  <c r="N62" i="118"/>
  <c r="N60" i="118"/>
  <c r="M105" i="4"/>
  <c r="L105" i="4"/>
  <c r="V229" i="72"/>
  <c r="H217" i="72"/>
  <c r="I217" i="72" s="1"/>
  <c r="J217" i="72" s="1"/>
  <c r="K217" i="72" s="1"/>
  <c r="L217" i="72" s="1"/>
  <c r="M217" i="72" s="1"/>
  <c r="P217" i="72" s="1"/>
  <c r="Q217" i="72" s="1"/>
  <c r="R217" i="72" s="1"/>
  <c r="S217" i="72" s="1"/>
  <c r="T217" i="72" s="1"/>
  <c r="H258" i="72" s="1"/>
  <c r="I258" i="72" s="1"/>
  <c r="J258" i="72" s="1"/>
  <c r="K258" i="72" s="1"/>
  <c r="L258" i="72" s="1"/>
  <c r="M258" i="72" s="1"/>
  <c r="P258" i="72" s="1"/>
  <c r="Q258" i="72" s="1"/>
  <c r="R258" i="72" s="1"/>
  <c r="S258" i="72" s="1"/>
  <c r="T258" i="72" s="1"/>
  <c r="H299" i="72" s="1"/>
  <c r="I299" i="72" s="1"/>
  <c r="J299" i="72" s="1"/>
  <c r="K299" i="72" s="1"/>
  <c r="L299" i="72" s="1"/>
  <c r="M299" i="72" s="1"/>
  <c r="P299" i="72" s="1"/>
  <c r="Q299" i="72" s="1"/>
  <c r="R299" i="72" s="1"/>
  <c r="I48" i="106"/>
  <c r="AA14" i="115"/>
  <c r="AE14" i="115" s="1"/>
  <c r="BO14" i="115" s="1"/>
  <c r="BP14" i="115" s="1"/>
  <c r="AK17" i="115"/>
  <c r="AK16" i="115"/>
  <c r="AK18" i="115"/>
  <c r="AK19" i="115"/>
  <c r="AK20" i="115"/>
  <c r="AK21" i="115"/>
  <c r="AK22" i="115"/>
  <c r="AK23" i="115"/>
  <c r="AK24" i="115"/>
  <c r="AK25" i="115"/>
  <c r="AK26" i="115"/>
  <c r="AK27" i="115"/>
  <c r="AK28" i="115"/>
  <c r="AK29" i="115"/>
  <c r="AK30" i="115"/>
  <c r="AK31" i="115"/>
  <c r="AK32" i="115"/>
  <c r="AK33" i="115"/>
  <c r="AK34" i="115"/>
  <c r="AK35" i="115"/>
  <c r="AK36" i="115"/>
  <c r="AK37" i="115"/>
  <c r="AK38" i="115"/>
  <c r="AK39" i="115"/>
  <c r="AK40" i="115"/>
  <c r="AK41" i="115"/>
  <c r="AK42" i="115"/>
  <c r="AK43" i="115"/>
  <c r="AK44" i="115"/>
  <c r="AK45" i="115"/>
  <c r="AK46" i="115"/>
  <c r="AK47" i="115"/>
  <c r="AK48" i="115"/>
  <c r="AK15" i="115"/>
  <c r="AC27" i="115"/>
  <c r="AC16" i="115"/>
  <c r="AC17" i="115"/>
  <c r="AC18" i="115"/>
  <c r="AC19" i="115"/>
  <c r="AC20" i="115"/>
  <c r="AC21" i="115"/>
  <c r="AC22" i="115"/>
  <c r="AC23" i="115"/>
  <c r="AC24" i="115"/>
  <c r="AC25" i="115"/>
  <c r="AC26" i="115"/>
  <c r="AC28" i="115"/>
  <c r="AC29" i="115"/>
  <c r="AC30" i="115"/>
  <c r="AC31" i="115"/>
  <c r="AC32" i="115"/>
  <c r="AC33" i="115"/>
  <c r="AC34" i="115"/>
  <c r="AC35" i="115"/>
  <c r="AC36" i="115"/>
  <c r="AC37" i="115"/>
  <c r="AC38" i="115"/>
  <c r="AC39" i="115"/>
  <c r="AC40" i="115"/>
  <c r="AC41" i="115"/>
  <c r="AC42" i="115"/>
  <c r="AC43" i="115"/>
  <c r="AC44" i="115"/>
  <c r="AC45" i="115"/>
  <c r="AC46" i="115"/>
  <c r="AC47" i="115"/>
  <c r="AC48" i="115"/>
  <c r="AC15" i="115"/>
  <c r="AM15" i="115"/>
  <c r="AG15" i="115"/>
  <c r="AE15" i="115"/>
  <c r="BQ15" i="115" s="1"/>
  <c r="BR15" i="115" s="1"/>
  <c r="H15" i="114"/>
  <c r="C15" i="114" s="1"/>
  <c r="P52" i="115"/>
  <c r="R52" i="115" s="1"/>
  <c r="P50" i="115"/>
  <c r="R50" i="115" s="1"/>
  <c r="N52" i="115"/>
  <c r="T52" i="115" s="1"/>
  <c r="L52" i="115"/>
  <c r="T50" i="115"/>
  <c r="P4" i="115"/>
  <c r="R4" i="115" s="1"/>
  <c r="X54" i="115" s="1"/>
  <c r="L8" i="115"/>
  <c r="N8" i="115" s="1"/>
  <c r="T8" i="115" s="1"/>
  <c r="L46" i="115"/>
  <c r="L45" i="115"/>
  <c r="L44" i="115"/>
  <c r="L43" i="115"/>
  <c r="L42" i="115"/>
  <c r="L41" i="115"/>
  <c r="L37" i="115"/>
  <c r="L32" i="115"/>
  <c r="N29" i="115"/>
  <c r="T29" i="115" s="1"/>
  <c r="N20" i="115"/>
  <c r="T20" i="115" s="1"/>
  <c r="N45" i="115"/>
  <c r="T45" i="115" s="1"/>
  <c r="N49" i="115"/>
  <c r="T49" i="115" s="1"/>
  <c r="N48" i="115"/>
  <c r="T48" i="115" s="1"/>
  <c r="N47" i="115"/>
  <c r="T47" i="115" s="1"/>
  <c r="N46" i="115"/>
  <c r="T46" i="115" s="1"/>
  <c r="N44" i="115"/>
  <c r="T44" i="115" s="1"/>
  <c r="N43" i="115"/>
  <c r="T43" i="115" s="1"/>
  <c r="N42" i="115"/>
  <c r="T42" i="115" s="1"/>
  <c r="N41" i="115"/>
  <c r="T41" i="115" s="1"/>
  <c r="N40" i="115"/>
  <c r="T40" i="115" s="1"/>
  <c r="N39" i="115"/>
  <c r="T39" i="115" s="1"/>
  <c r="N38" i="115"/>
  <c r="T38" i="115" s="1"/>
  <c r="N37" i="115"/>
  <c r="T37" i="115" s="1"/>
  <c r="N36" i="115"/>
  <c r="T36" i="115" s="1"/>
  <c r="N35" i="115"/>
  <c r="T35" i="115" s="1"/>
  <c r="N34" i="115"/>
  <c r="T34" i="115" s="1"/>
  <c r="N33" i="115"/>
  <c r="T33" i="115" s="1"/>
  <c r="N32" i="115"/>
  <c r="T32" i="115" s="1"/>
  <c r="N31" i="115"/>
  <c r="T31" i="115" s="1"/>
  <c r="N30" i="115"/>
  <c r="T30" i="115" s="1"/>
  <c r="N28" i="115"/>
  <c r="T28" i="115" s="1"/>
  <c r="N27" i="115"/>
  <c r="T27" i="115" s="1"/>
  <c r="N26" i="115"/>
  <c r="T26" i="115" s="1"/>
  <c r="N25" i="115"/>
  <c r="T25" i="115" s="1"/>
  <c r="N24" i="115"/>
  <c r="T24" i="115" s="1"/>
  <c r="N23" i="115"/>
  <c r="T23" i="115" s="1"/>
  <c r="N22" i="115"/>
  <c r="T22" i="115" s="1"/>
  <c r="N21" i="115"/>
  <c r="T21" i="115" s="1"/>
  <c r="N4" i="115"/>
  <c r="T54" i="115" s="1"/>
  <c r="T2" i="115"/>
  <c r="BS48" i="115"/>
  <c r="BT48" i="115" s="1"/>
  <c r="AM48" i="115"/>
  <c r="AG48" i="115"/>
  <c r="AE48" i="115"/>
  <c r="BZ48" i="115" s="1"/>
  <c r="BS47" i="115"/>
  <c r="BT47" i="115" s="1"/>
  <c r="AM47" i="115"/>
  <c r="AG47" i="115"/>
  <c r="AE47" i="115"/>
  <c r="BQ47" i="115" s="1"/>
  <c r="BR47" i="115" s="1"/>
  <c r="BS46" i="115"/>
  <c r="BT46" i="115" s="1"/>
  <c r="AM46" i="115"/>
  <c r="AG46" i="115"/>
  <c r="AE46" i="115"/>
  <c r="BZ46" i="115" s="1"/>
  <c r="BS45" i="115"/>
  <c r="BT45" i="115" s="1"/>
  <c r="AM45" i="115"/>
  <c r="AG45" i="115"/>
  <c r="AE45" i="115"/>
  <c r="BQ45" i="115" s="1"/>
  <c r="BR45" i="115" s="1"/>
  <c r="BS44" i="115"/>
  <c r="BT44" i="115" s="1"/>
  <c r="AM44" i="115"/>
  <c r="AG44" i="115"/>
  <c r="AE44" i="115"/>
  <c r="BZ44" i="115" s="1"/>
  <c r="BS43" i="115"/>
  <c r="BT43" i="115" s="1"/>
  <c r="AM43" i="115"/>
  <c r="AG43" i="115"/>
  <c r="AE43" i="115"/>
  <c r="BQ43" i="115" s="1"/>
  <c r="BR43" i="115" s="1"/>
  <c r="BS42" i="115"/>
  <c r="BT42" i="115" s="1"/>
  <c r="AM42" i="115"/>
  <c r="AG42" i="115"/>
  <c r="AE42" i="115"/>
  <c r="BZ42" i="115" s="1"/>
  <c r="BS41" i="115"/>
  <c r="BT41" i="115" s="1"/>
  <c r="AM41" i="115"/>
  <c r="AG41" i="115"/>
  <c r="AE41" i="115"/>
  <c r="BO41" i="115" s="1"/>
  <c r="BP41" i="115" s="1"/>
  <c r="BS40" i="115"/>
  <c r="BT40" i="115" s="1"/>
  <c r="AM40" i="115"/>
  <c r="AG40" i="115"/>
  <c r="AE40" i="115"/>
  <c r="BZ40" i="115" s="1"/>
  <c r="BS39" i="115"/>
  <c r="BT39" i="115" s="1"/>
  <c r="AM39" i="115"/>
  <c r="AG39" i="115"/>
  <c r="AE39" i="115"/>
  <c r="BZ39" i="115" s="1"/>
  <c r="BS38" i="115"/>
  <c r="BT38" i="115" s="1"/>
  <c r="AM38" i="115"/>
  <c r="AG38" i="115"/>
  <c r="AE38" i="115"/>
  <c r="BZ38" i="115" s="1"/>
  <c r="BS37" i="115"/>
  <c r="BT37" i="115" s="1"/>
  <c r="AM37" i="115"/>
  <c r="AG37" i="115"/>
  <c r="AE37" i="115"/>
  <c r="BZ37" i="115" s="1"/>
  <c r="BS36" i="115"/>
  <c r="BT36" i="115" s="1"/>
  <c r="AM36" i="115"/>
  <c r="AG36" i="115"/>
  <c r="AE36" i="115"/>
  <c r="BO36" i="115" s="1"/>
  <c r="BP36" i="115" s="1"/>
  <c r="BS35" i="115"/>
  <c r="BT35" i="115" s="1"/>
  <c r="AM35" i="115"/>
  <c r="AG35" i="115"/>
  <c r="AE35" i="115"/>
  <c r="BZ35" i="115" s="1"/>
  <c r="BS34" i="115"/>
  <c r="BT34" i="115" s="1"/>
  <c r="AM34" i="115"/>
  <c r="AG34" i="115"/>
  <c r="AE34" i="115"/>
  <c r="BQ34" i="115" s="1"/>
  <c r="BR34" i="115" s="1"/>
  <c r="BS33" i="115"/>
  <c r="BT33" i="115" s="1"/>
  <c r="AM33" i="115"/>
  <c r="AG33" i="115"/>
  <c r="AE33" i="115"/>
  <c r="BZ33" i="115" s="1"/>
  <c r="BS32" i="115"/>
  <c r="BT32" i="115" s="1"/>
  <c r="AM32" i="115"/>
  <c r="AG32" i="115"/>
  <c r="AE32" i="115"/>
  <c r="BZ32" i="115" s="1"/>
  <c r="BS31" i="115"/>
  <c r="BT31" i="115" s="1"/>
  <c r="AM31" i="115"/>
  <c r="AG31" i="115"/>
  <c r="AE31" i="115"/>
  <c r="BZ31" i="115" s="1"/>
  <c r="F31" i="115"/>
  <c r="BS30" i="115"/>
  <c r="BT30" i="115" s="1"/>
  <c r="AM30" i="115"/>
  <c r="AG30" i="115"/>
  <c r="AE30" i="115"/>
  <c r="BZ30" i="115" s="1"/>
  <c r="BS29" i="115"/>
  <c r="BT29" i="115" s="1"/>
  <c r="AM29" i="115"/>
  <c r="AG29" i="115"/>
  <c r="AE29" i="115"/>
  <c r="BQ29" i="115" s="1"/>
  <c r="BR29" i="115" s="1"/>
  <c r="BS28" i="115"/>
  <c r="BT28" i="115" s="1"/>
  <c r="AM28" i="115"/>
  <c r="AG28" i="115"/>
  <c r="AE28" i="115"/>
  <c r="BO28" i="115" s="1"/>
  <c r="BP28" i="115" s="1"/>
  <c r="BS27" i="115"/>
  <c r="BT27" i="115" s="1"/>
  <c r="AM27" i="115"/>
  <c r="AG27" i="115"/>
  <c r="AE27" i="115"/>
  <c r="BQ27" i="115" s="1"/>
  <c r="BR27" i="115" s="1"/>
  <c r="BS26" i="115"/>
  <c r="BT26" i="115" s="1"/>
  <c r="AM26" i="115"/>
  <c r="AG26" i="115"/>
  <c r="AE26" i="115"/>
  <c r="BZ26" i="115" s="1"/>
  <c r="F26" i="115"/>
  <c r="BS25" i="115"/>
  <c r="BT25" i="115" s="1"/>
  <c r="AM25" i="115"/>
  <c r="AG25" i="115"/>
  <c r="AE25" i="115"/>
  <c r="BQ25" i="115" s="1"/>
  <c r="BR25" i="115" s="1"/>
  <c r="BS24" i="115"/>
  <c r="BT24" i="115" s="1"/>
  <c r="AM24" i="115"/>
  <c r="AG24" i="115"/>
  <c r="AE24" i="115"/>
  <c r="BS23" i="115"/>
  <c r="BT23" i="115" s="1"/>
  <c r="AM23" i="115"/>
  <c r="AG23" i="115"/>
  <c r="AE23" i="115"/>
  <c r="BO23" i="115" s="1"/>
  <c r="BP23" i="115" s="1"/>
  <c r="BS22" i="115"/>
  <c r="BT22" i="115" s="1"/>
  <c r="AM22" i="115"/>
  <c r="AG22" i="115"/>
  <c r="AE22" i="115"/>
  <c r="BO22" i="115" s="1"/>
  <c r="BP22" i="115" s="1"/>
  <c r="BS21" i="115"/>
  <c r="BT21" i="115" s="1"/>
  <c r="AM21" i="115"/>
  <c r="AG21" i="115"/>
  <c r="AE21" i="115"/>
  <c r="BZ21" i="115" s="1"/>
  <c r="BS20" i="115"/>
  <c r="BT20" i="115" s="1"/>
  <c r="AM20" i="115"/>
  <c r="AG20" i="115"/>
  <c r="AE20" i="115"/>
  <c r="BO20" i="115" s="1"/>
  <c r="BP20" i="115" s="1"/>
  <c r="BS19" i="115"/>
  <c r="BT19" i="115" s="1"/>
  <c r="AM19" i="115"/>
  <c r="AG19" i="115"/>
  <c r="AE19" i="115"/>
  <c r="BZ19" i="115" s="1"/>
  <c r="BS18" i="115"/>
  <c r="BT18" i="115" s="1"/>
  <c r="AM18" i="115"/>
  <c r="AG18" i="115"/>
  <c r="AE18" i="115"/>
  <c r="BZ18" i="115" s="1"/>
  <c r="BS17" i="115"/>
  <c r="BT17" i="115" s="1"/>
  <c r="AM17" i="115"/>
  <c r="AG17" i="115"/>
  <c r="AE17" i="115"/>
  <c r="BO17" i="115" s="1"/>
  <c r="BP17" i="115" s="1"/>
  <c r="BS16" i="115"/>
  <c r="BT16" i="115" s="1"/>
  <c r="AM16" i="115"/>
  <c r="AG16" i="115"/>
  <c r="AE16" i="115"/>
  <c r="BZ16" i="115" s="1"/>
  <c r="BS15" i="115"/>
  <c r="BT15" i="115" s="1"/>
  <c r="Z15" i="115"/>
  <c r="BN15" i="115" s="1"/>
  <c r="D15" i="115"/>
  <c r="F15" i="115" s="1"/>
  <c r="H15" i="115" s="1"/>
  <c r="BN14" i="115"/>
  <c r="AR14" i="115"/>
  <c r="BG14" i="115" s="1"/>
  <c r="T6" i="115"/>
  <c r="L6" i="115"/>
  <c r="V61" i="72"/>
  <c r="AA35" i="41"/>
  <c r="A75" i="73"/>
  <c r="C36" i="72" s="1"/>
  <c r="B42" i="41"/>
  <c r="H629" i="114"/>
  <c r="C2" i="114"/>
  <c r="C1" i="114"/>
  <c r="S1" i="113"/>
  <c r="G3" i="109"/>
  <c r="M34" i="109" s="1"/>
  <c r="B25" i="114"/>
  <c r="B26" i="114" s="1"/>
  <c r="B27" i="114" s="1"/>
  <c r="B28" i="114" s="1"/>
  <c r="A21" i="114"/>
  <c r="A22" i="114" s="1"/>
  <c r="A23" i="114" s="1"/>
  <c r="A384" i="114" s="1"/>
  <c r="A385" i="114" s="1"/>
  <c r="A386" i="114" s="1"/>
  <c r="A387" i="114" s="1"/>
  <c r="A388" i="114" s="1"/>
  <c r="K20" i="114"/>
  <c r="H20" i="114"/>
  <c r="D19" i="114"/>
  <c r="D15" i="114"/>
  <c r="D14" i="114"/>
  <c r="C14" i="114"/>
  <c r="F11" i="107"/>
  <c r="K1" i="107"/>
  <c r="R117" i="72"/>
  <c r="J28" i="4"/>
  <c r="E28" i="4"/>
  <c r="K25" i="4"/>
  <c r="L25" i="4" s="1"/>
  <c r="K24" i="4"/>
  <c r="L24" i="4" s="1"/>
  <c r="K23" i="4"/>
  <c r="L23" i="4" s="1"/>
  <c r="K22" i="4"/>
  <c r="L22" i="4" s="1"/>
  <c r="K21" i="4"/>
  <c r="L21" i="4" s="1"/>
  <c r="K20" i="4"/>
  <c r="L20" i="4" s="1"/>
  <c r="D50" i="4"/>
  <c r="C17" i="119" s="1"/>
  <c r="I17" i="119" s="1"/>
  <c r="I20" i="97"/>
  <c r="K1" i="104"/>
  <c r="I1" i="97"/>
  <c r="K1" i="99"/>
  <c r="M17" i="98"/>
  <c r="M42" i="98" s="1"/>
  <c r="J1" i="103"/>
  <c r="J1" i="100"/>
  <c r="H121" i="103"/>
  <c r="J6" i="103"/>
  <c r="B10" i="100"/>
  <c r="B11" i="100" s="1"/>
  <c r="B12" i="100" s="1"/>
  <c r="B13" i="100" s="1"/>
  <c r="O178" i="72"/>
  <c r="H71" i="4"/>
  <c r="U188" i="72"/>
  <c r="C295" i="119" s="1"/>
  <c r="M295" i="119" s="1"/>
  <c r="U187" i="72"/>
  <c r="U186" i="72"/>
  <c r="U181" i="72"/>
  <c r="C288" i="119" s="1"/>
  <c r="M288" i="119" s="1"/>
  <c r="U179" i="72"/>
  <c r="C286" i="119" s="1"/>
  <c r="M286" i="119" s="1"/>
  <c r="U178" i="72"/>
  <c r="C285" i="119" s="1"/>
  <c r="M285" i="119" s="1"/>
  <c r="U175" i="72"/>
  <c r="C283" i="119" s="1"/>
  <c r="M283" i="119" s="1"/>
  <c r="U174" i="72"/>
  <c r="C282" i="119" s="1"/>
  <c r="M282" i="119" s="1"/>
  <c r="U173" i="72"/>
  <c r="U169" i="72"/>
  <c r="C277" i="119" s="1"/>
  <c r="U168" i="72"/>
  <c r="C276" i="119" s="1"/>
  <c r="M276" i="119" s="1"/>
  <c r="U166" i="72"/>
  <c r="U164" i="72"/>
  <c r="C272" i="119" s="1"/>
  <c r="M272" i="119" s="1"/>
  <c r="U163" i="72"/>
  <c r="C271" i="119" s="1"/>
  <c r="M271" i="119" s="1"/>
  <c r="U162" i="72"/>
  <c r="C270" i="119" s="1"/>
  <c r="M270" i="119" s="1"/>
  <c r="U158" i="72"/>
  <c r="C266" i="119" s="1"/>
  <c r="M266" i="119" s="1"/>
  <c r="U157" i="72"/>
  <c r="C265" i="119" s="1"/>
  <c r="M265" i="119" s="1"/>
  <c r="U156" i="72"/>
  <c r="C264" i="119" s="1"/>
  <c r="M264" i="119" s="1"/>
  <c r="U154" i="72"/>
  <c r="U200" i="72" s="1"/>
  <c r="U194" i="72"/>
  <c r="G299" i="119" s="1"/>
  <c r="C66" i="72"/>
  <c r="C65" i="72"/>
  <c r="C64" i="72"/>
  <c r="C63" i="72"/>
  <c r="C62" i="72"/>
  <c r="C61" i="72"/>
  <c r="C60" i="72"/>
  <c r="C59" i="72"/>
  <c r="C58" i="72"/>
  <c r="C57" i="72"/>
  <c r="C55" i="72"/>
  <c r="C54" i="72"/>
  <c r="C53" i="72"/>
  <c r="C52" i="72"/>
  <c r="C51" i="72"/>
  <c r="C50" i="72"/>
  <c r="C48" i="72"/>
  <c r="C47" i="72"/>
  <c r="C46" i="72"/>
  <c r="C45" i="72"/>
  <c r="C44" i="72"/>
  <c r="C43" i="72"/>
  <c r="C42" i="72"/>
  <c r="C41" i="72"/>
  <c r="C39" i="72"/>
  <c r="C38" i="72"/>
  <c r="C37" i="72"/>
  <c r="C35" i="72"/>
  <c r="C34" i="72"/>
  <c r="C32" i="72"/>
  <c r="C31" i="72"/>
  <c r="C30" i="72"/>
  <c r="C29" i="72"/>
  <c r="C28" i="72"/>
  <c r="C27" i="72"/>
  <c r="C26" i="72"/>
  <c r="C25" i="72"/>
  <c r="C24" i="72"/>
  <c r="C23" i="72"/>
  <c r="C21" i="72"/>
  <c r="C20" i="72"/>
  <c r="C19" i="72"/>
  <c r="C18" i="72"/>
  <c r="C17" i="72"/>
  <c r="C16" i="72"/>
  <c r="C15" i="72"/>
  <c r="W213" i="72"/>
  <c r="W147" i="72"/>
  <c r="W70" i="72"/>
  <c r="E2" i="72"/>
  <c r="T2" i="79" s="1"/>
  <c r="E1" i="72"/>
  <c r="B1" i="115" s="1"/>
  <c r="I1" i="44"/>
  <c r="Q202" i="72"/>
  <c r="Q201" i="72"/>
  <c r="Q200" i="72"/>
  <c r="O179" i="72"/>
  <c r="M179" i="72"/>
  <c r="P127" i="72"/>
  <c r="Q127" i="72" s="1"/>
  <c r="C237" i="72"/>
  <c r="C278" i="72" s="1"/>
  <c r="C319" i="72" s="1"/>
  <c r="T76" i="72"/>
  <c r="K9" i="72"/>
  <c r="M8" i="72"/>
  <c r="L8" i="72"/>
  <c r="K8" i="72"/>
  <c r="L7" i="72"/>
  <c r="M7" i="72" s="1"/>
  <c r="B55" i="44"/>
  <c r="B51" i="44"/>
  <c r="B47" i="44"/>
  <c r="B46" i="44"/>
  <c r="B45" i="44"/>
  <c r="Y1" i="89"/>
  <c r="J1" i="42"/>
  <c r="Y1" i="41"/>
  <c r="U1" i="88"/>
  <c r="L1" i="71"/>
  <c r="E1" i="57"/>
  <c r="J1" i="91"/>
  <c r="M1" i="3"/>
  <c r="Q45" i="89"/>
  <c r="C152" i="119"/>
  <c r="H152" i="119" s="1"/>
  <c r="G82" i="73"/>
  <c r="J83" i="73"/>
  <c r="V18" i="89"/>
  <c r="H93" i="73"/>
  <c r="H92" i="73"/>
  <c r="G93" i="73"/>
  <c r="G92" i="73"/>
  <c r="F36" i="91"/>
  <c r="X33" i="89" s="1"/>
  <c r="H76" i="73"/>
  <c r="E74" i="71"/>
  <c r="C92" i="57" s="1"/>
  <c r="C94" i="57" s="1"/>
  <c r="E60" i="71"/>
  <c r="C79" i="57" s="1"/>
  <c r="C81" i="57" s="1"/>
  <c r="E46" i="71"/>
  <c r="C67" i="57" s="1"/>
  <c r="C69" i="57" s="1"/>
  <c r="E32" i="71"/>
  <c r="C56" i="57" s="1"/>
  <c r="C58" i="57" s="1"/>
  <c r="G100" i="73"/>
  <c r="H100" i="73"/>
  <c r="G63" i="73"/>
  <c r="H63" i="73"/>
  <c r="G64" i="73"/>
  <c r="H64" i="73"/>
  <c r="G65" i="73"/>
  <c r="H65" i="73"/>
  <c r="G66" i="73"/>
  <c r="H66" i="73"/>
  <c r="G67" i="73"/>
  <c r="H67" i="73"/>
  <c r="G68" i="73"/>
  <c r="H68" i="73"/>
  <c r="G69" i="73"/>
  <c r="H69" i="73"/>
  <c r="G70" i="73"/>
  <c r="H70" i="73"/>
  <c r="G73" i="73"/>
  <c r="H73" i="73"/>
  <c r="G74" i="73"/>
  <c r="H74" i="73"/>
  <c r="H75" i="73"/>
  <c r="G77" i="73"/>
  <c r="H77" i="73"/>
  <c r="G80" i="73"/>
  <c r="H80" i="73"/>
  <c r="G81" i="73"/>
  <c r="H81" i="73"/>
  <c r="H82" i="73"/>
  <c r="H83" i="73"/>
  <c r="G84" i="73"/>
  <c r="H84" i="73"/>
  <c r="G85" i="73"/>
  <c r="H85" i="73"/>
  <c r="G86" i="73"/>
  <c r="H86" i="73"/>
  <c r="G89" i="73"/>
  <c r="H89" i="73"/>
  <c r="H90" i="73"/>
  <c r="H91" i="73"/>
  <c r="G101" i="73"/>
  <c r="H101" i="73"/>
  <c r="G102" i="73"/>
  <c r="H102" i="73"/>
  <c r="G103" i="73"/>
  <c r="H103" i="73"/>
  <c r="G62" i="73"/>
  <c r="H62" i="73"/>
  <c r="C16" i="74"/>
  <c r="F11" i="74" s="1"/>
  <c r="F17" i="74"/>
  <c r="F18" i="74"/>
  <c r="H31" i="74"/>
  <c r="H37" i="74"/>
  <c r="H38" i="74"/>
  <c r="J37" i="74"/>
  <c r="H40" i="74"/>
  <c r="G46" i="74"/>
  <c r="C47" i="74"/>
  <c r="D47" i="74"/>
  <c r="F47" i="74"/>
  <c r="G52" i="74"/>
  <c r="C53" i="74"/>
  <c r="D53" i="74"/>
  <c r="F53" i="74"/>
  <c r="G58" i="74"/>
  <c r="C59" i="74"/>
  <c r="D59" i="74"/>
  <c r="F59" i="74"/>
  <c r="A33" i="73"/>
  <c r="A34" i="73" s="1"/>
  <c r="A35" i="73" s="1"/>
  <c r="A36" i="73" s="1"/>
  <c r="A37" i="73" s="1"/>
  <c r="A38" i="73" s="1"/>
  <c r="A39" i="73" s="1"/>
  <c r="A40" i="73" s="1"/>
  <c r="L34" i="73"/>
  <c r="L36" i="73" s="1"/>
  <c r="L40" i="73"/>
  <c r="G138" i="73"/>
  <c r="G139" i="73" s="1"/>
  <c r="G140" i="73" s="1"/>
  <c r="G141" i="73" s="1"/>
  <c r="G142" i="73" s="1"/>
  <c r="G143" i="73" s="1"/>
  <c r="G144" i="73" s="1"/>
  <c r="G145" i="73" s="1"/>
  <c r="G146" i="73" s="1"/>
  <c r="G147" i="73" s="1"/>
  <c r="G148" i="73" s="1"/>
  <c r="G149" i="73" s="1"/>
  <c r="G150" i="73" s="1"/>
  <c r="G151" i="73" s="1"/>
  <c r="G152" i="73" s="1"/>
  <c r="G153" i="73" s="1"/>
  <c r="G154" i="73" s="1"/>
  <c r="B141" i="73"/>
  <c r="B142" i="73"/>
  <c r="B143" i="73"/>
  <c r="B144" i="73"/>
  <c r="B145" i="73"/>
  <c r="C6" i="73"/>
  <c r="L38" i="73"/>
  <c r="L42" i="73"/>
  <c r="J94" i="73"/>
  <c r="G76" i="73"/>
  <c r="B34" i="4"/>
  <c r="E136" i="119"/>
  <c r="C386" i="114"/>
  <c r="E386" i="114"/>
  <c r="AA36" i="41"/>
  <c r="U180" i="72"/>
  <c r="C287" i="119" s="1"/>
  <c r="M287" i="119" s="1"/>
  <c r="H50" i="115"/>
  <c r="G75" i="73"/>
  <c r="J122" i="41"/>
  <c r="Y25" i="72" l="1"/>
  <c r="C156" i="119"/>
  <c r="H156" i="119" s="1"/>
  <c r="B18" i="115"/>
  <c r="I21" i="122"/>
  <c r="AG4" i="115"/>
  <c r="I4" i="122"/>
  <c r="D38" i="115"/>
  <c r="H38" i="115" s="1"/>
  <c r="I25" i="122"/>
  <c r="I57" i="122" s="1"/>
  <c r="I17" i="107"/>
  <c r="I15" i="107"/>
  <c r="B64" i="44"/>
  <c r="E64" i="44" s="1"/>
  <c r="F64" i="44" s="1"/>
  <c r="I135" i="119"/>
  <c r="P22" i="73"/>
  <c r="I11" i="73"/>
  <c r="G83" i="72"/>
  <c r="E189" i="119" s="1"/>
  <c r="B16" i="115"/>
  <c r="D16" i="115" s="1"/>
  <c r="F16" i="115" s="1"/>
  <c r="H16" i="115" s="1"/>
  <c r="C161" i="119"/>
  <c r="H161" i="119" s="1"/>
  <c r="C162" i="119"/>
  <c r="H162" i="119" s="1"/>
  <c r="D363" i="119"/>
  <c r="J363" i="119" s="1"/>
  <c r="C336" i="119"/>
  <c r="H336" i="119" s="1"/>
  <c r="W5" i="72"/>
  <c r="W6" i="72" s="1"/>
  <c r="W7" i="72" s="1"/>
  <c r="Z17" i="72" s="1"/>
  <c r="B88" i="72"/>
  <c r="E131" i="72"/>
  <c r="C241" i="72" s="1"/>
  <c r="C282" i="72" s="1"/>
  <c r="C323" i="72" s="1"/>
  <c r="E135" i="72"/>
  <c r="C247" i="72" s="1"/>
  <c r="C288" i="72" s="1"/>
  <c r="C329" i="72" s="1"/>
  <c r="B94" i="72"/>
  <c r="C202" i="119"/>
  <c r="I202" i="119" s="1"/>
  <c r="B98" i="72"/>
  <c r="E140" i="72"/>
  <c r="Y140" i="72" s="1"/>
  <c r="B99" i="72"/>
  <c r="E134" i="72"/>
  <c r="C246" i="72" s="1"/>
  <c r="C287" i="72" s="1"/>
  <c r="C328" i="72" s="1"/>
  <c r="B93" i="72"/>
  <c r="E133" i="72"/>
  <c r="Y133" i="72" s="1"/>
  <c r="B92" i="72"/>
  <c r="Y138" i="72"/>
  <c r="B87" i="72"/>
  <c r="F40" i="107"/>
  <c r="D49" i="97" s="1"/>
  <c r="E96" i="57"/>
  <c r="C351" i="119" s="1"/>
  <c r="H351" i="119" s="1"/>
  <c r="L30" i="115"/>
  <c r="P30" i="115" s="1"/>
  <c r="V30" i="115" s="1"/>
  <c r="L20" i="115"/>
  <c r="P20" i="115" s="1"/>
  <c r="R20" i="115" s="1"/>
  <c r="X20" i="115" s="1"/>
  <c r="C137" i="119"/>
  <c r="H137" i="119" s="1"/>
  <c r="H190" i="119"/>
  <c r="J190" i="119"/>
  <c r="H200" i="119"/>
  <c r="J200" i="119"/>
  <c r="H199" i="119"/>
  <c r="J199" i="119"/>
  <c r="E9" i="41"/>
  <c r="H9" i="41" s="1"/>
  <c r="P108" i="72"/>
  <c r="H191" i="119"/>
  <c r="H189" i="119"/>
  <c r="H130" i="72"/>
  <c r="F193" i="119"/>
  <c r="C192" i="119"/>
  <c r="E129" i="72"/>
  <c r="Y129" i="72" s="1"/>
  <c r="Y130" i="72"/>
  <c r="E152" i="119"/>
  <c r="J152" i="119" s="1"/>
  <c r="P22" i="115"/>
  <c r="R22" i="115" s="1"/>
  <c r="X22" i="115" s="1"/>
  <c r="P34" i="115"/>
  <c r="V34" i="115" s="1"/>
  <c r="P21" i="115"/>
  <c r="R21" i="115" s="1"/>
  <c r="X21" i="115" s="1"/>
  <c r="P43" i="115"/>
  <c r="R43" i="115" s="1"/>
  <c r="X43" i="115" s="1"/>
  <c r="J80" i="73"/>
  <c r="P41" i="115"/>
  <c r="R41" i="115" s="1"/>
  <c r="X41" i="115" s="1"/>
  <c r="P42" i="115"/>
  <c r="R42" i="115" s="1"/>
  <c r="X42" i="115" s="1"/>
  <c r="P44" i="115"/>
  <c r="R44" i="115" s="1"/>
  <c r="X44" i="115" s="1"/>
  <c r="J33" i="118"/>
  <c r="P32" i="115"/>
  <c r="V32" i="115" s="1"/>
  <c r="I43" i="118"/>
  <c r="J43" i="118" s="1"/>
  <c r="E242" i="119" s="1"/>
  <c r="P37" i="115"/>
  <c r="V37" i="115" s="1"/>
  <c r="I37" i="118"/>
  <c r="J37" i="118" s="1"/>
  <c r="E236" i="119" s="1"/>
  <c r="I41" i="118"/>
  <c r="J41" i="118" s="1"/>
  <c r="L41" i="118" s="1"/>
  <c r="N41" i="118" s="1"/>
  <c r="I35" i="118"/>
  <c r="J35" i="118" s="1"/>
  <c r="L35" i="118" s="1"/>
  <c r="N35" i="118" s="1"/>
  <c r="I42" i="118"/>
  <c r="J42" i="118" s="1"/>
  <c r="L42" i="118" s="1"/>
  <c r="N42" i="118" s="1"/>
  <c r="I38" i="118"/>
  <c r="J38" i="118" s="1"/>
  <c r="L38" i="118" s="1"/>
  <c r="N38" i="118" s="1"/>
  <c r="J34" i="118"/>
  <c r="L34" i="118" s="1"/>
  <c r="N34" i="118" s="1"/>
  <c r="P31" i="115"/>
  <c r="R31" i="115" s="1"/>
  <c r="X31" i="115" s="1"/>
  <c r="I44" i="118"/>
  <c r="J44" i="118" s="1"/>
  <c r="L44" i="118" s="1"/>
  <c r="N44" i="118" s="1"/>
  <c r="I40" i="118"/>
  <c r="J40" i="118" s="1"/>
  <c r="L40" i="118" s="1"/>
  <c r="N40" i="118" s="1"/>
  <c r="P46" i="115"/>
  <c r="R46" i="115" s="1"/>
  <c r="X46" i="115" s="1"/>
  <c r="P45" i="115"/>
  <c r="R45" i="115" s="1"/>
  <c r="X45" i="115" s="1"/>
  <c r="P8" i="79"/>
  <c r="M15" i="79" s="1"/>
  <c r="M16" i="79" s="1"/>
  <c r="M17" i="79" s="1"/>
  <c r="M18" i="79" s="1"/>
  <c r="M19" i="79" s="1"/>
  <c r="M20" i="79" s="1"/>
  <c r="M21" i="79" s="1"/>
  <c r="M22" i="79" s="1"/>
  <c r="M23" i="79" s="1"/>
  <c r="M24" i="79" s="1"/>
  <c r="M25" i="79" s="1"/>
  <c r="M26" i="79" s="1"/>
  <c r="M27" i="79" s="1"/>
  <c r="M28" i="79" s="1"/>
  <c r="M29" i="79" s="1"/>
  <c r="M30" i="79" s="1"/>
  <c r="M31" i="79" s="1"/>
  <c r="M32" i="79" s="1"/>
  <c r="M33" i="79" s="1"/>
  <c r="M34" i="79" s="1"/>
  <c r="M35" i="79" s="1"/>
  <c r="M36" i="79" s="1"/>
  <c r="M37" i="79" s="1"/>
  <c r="M38" i="79" s="1"/>
  <c r="M39" i="79" s="1"/>
  <c r="M40" i="79" s="1"/>
  <c r="M41" i="79" s="1"/>
  <c r="M42" i="79" s="1"/>
  <c r="M43" i="79" s="1"/>
  <c r="M44" i="79" s="1"/>
  <c r="M45" i="79" s="1"/>
  <c r="M46" i="79" s="1"/>
  <c r="M47" i="79" s="1"/>
  <c r="M48" i="79" s="1"/>
  <c r="M49" i="79" s="1"/>
  <c r="M50" i="79" s="1"/>
  <c r="M51" i="79" s="1"/>
  <c r="M52" i="79" s="1"/>
  <c r="M53" i="79" s="1"/>
  <c r="M54" i="79" s="1"/>
  <c r="M55" i="79" s="1"/>
  <c r="M56" i="79" s="1"/>
  <c r="M57" i="79" s="1"/>
  <c r="M58" i="79" s="1"/>
  <c r="M59" i="79" s="1"/>
  <c r="M60" i="79" s="1"/>
  <c r="M61" i="79" s="1"/>
  <c r="M62" i="79" s="1"/>
  <c r="M63" i="79" s="1"/>
  <c r="M64" i="79" s="1"/>
  <c r="M65" i="79" s="1"/>
  <c r="M66" i="79" s="1"/>
  <c r="M67" i="79" s="1"/>
  <c r="M68" i="79" s="1"/>
  <c r="M69" i="79" s="1"/>
  <c r="M70" i="79" s="1"/>
  <c r="M71" i="79" s="1"/>
  <c r="M72" i="79" s="1"/>
  <c r="M73" i="79" s="1"/>
  <c r="M74" i="79" s="1"/>
  <c r="M75" i="79" s="1"/>
  <c r="M76" i="79" s="1"/>
  <c r="M77" i="79" s="1"/>
  <c r="M78" i="79" s="1"/>
  <c r="M79" i="79" s="1"/>
  <c r="M80" i="79" s="1"/>
  <c r="M81" i="79" s="1"/>
  <c r="M82" i="79" s="1"/>
  <c r="M83" i="79" s="1"/>
  <c r="M84" i="79" s="1"/>
  <c r="M85" i="79" s="1"/>
  <c r="M86" i="79" s="1"/>
  <c r="M87" i="79" s="1"/>
  <c r="M88" i="79" s="1"/>
  <c r="M89" i="79" s="1"/>
  <c r="M90" i="79" s="1"/>
  <c r="M91" i="79" s="1"/>
  <c r="M92" i="79" s="1"/>
  <c r="M93" i="79" s="1"/>
  <c r="M94" i="79" s="1"/>
  <c r="M95" i="79" s="1"/>
  <c r="M96" i="79" s="1"/>
  <c r="M97" i="79" s="1"/>
  <c r="M98" i="79" s="1"/>
  <c r="M99" i="79" s="1"/>
  <c r="M100" i="79" s="1"/>
  <c r="M101" i="79" s="1"/>
  <c r="M102" i="79" s="1"/>
  <c r="M103" i="79" s="1"/>
  <c r="M104" i="79" s="1"/>
  <c r="M105" i="79" s="1"/>
  <c r="M106" i="79" s="1"/>
  <c r="M107" i="79" s="1"/>
  <c r="M108" i="79" s="1"/>
  <c r="M109" i="79" s="1"/>
  <c r="M110" i="79" s="1"/>
  <c r="M111" i="79" s="1"/>
  <c r="M112" i="79" s="1"/>
  <c r="M113" i="79" s="1"/>
  <c r="M114" i="79" s="1"/>
  <c r="M115" i="79" s="1"/>
  <c r="M116" i="79" s="1"/>
  <c r="M117" i="79" s="1"/>
  <c r="M118" i="79" s="1"/>
  <c r="M119" i="79" s="1"/>
  <c r="M120" i="79" s="1"/>
  <c r="M121" i="79" s="1"/>
  <c r="M122" i="79" s="1"/>
  <c r="M123" i="79" s="1"/>
  <c r="M124" i="79" s="1"/>
  <c r="M125" i="79" s="1"/>
  <c r="M126" i="79" s="1"/>
  <c r="M127" i="79" s="1"/>
  <c r="M128" i="79" s="1"/>
  <c r="M129" i="79" s="1"/>
  <c r="M130" i="79" s="1"/>
  <c r="M131" i="79" s="1"/>
  <c r="M132" i="79" s="1"/>
  <c r="M133" i="79" s="1"/>
  <c r="M134" i="79" s="1"/>
  <c r="M135" i="79" s="1"/>
  <c r="M136" i="79" s="1"/>
  <c r="M137" i="79" s="1"/>
  <c r="M138" i="79" s="1"/>
  <c r="M139" i="79" s="1"/>
  <c r="M140" i="79" s="1"/>
  <c r="M141" i="79" s="1"/>
  <c r="M142" i="79" s="1"/>
  <c r="M143" i="79" s="1"/>
  <c r="M144" i="79" s="1"/>
  <c r="M145" i="79" s="1"/>
  <c r="M146" i="79" s="1"/>
  <c r="M147" i="79" s="1"/>
  <c r="M148" i="79" s="1"/>
  <c r="M149" i="79" s="1"/>
  <c r="M150" i="79" s="1"/>
  <c r="M151" i="79" s="1"/>
  <c r="M152" i="79" s="1"/>
  <c r="M153" i="79" s="1"/>
  <c r="M154" i="79" s="1"/>
  <c r="M155" i="79" s="1"/>
  <c r="M156" i="79" s="1"/>
  <c r="M157" i="79" s="1"/>
  <c r="M158" i="79" s="1"/>
  <c r="M159" i="79" s="1"/>
  <c r="M160" i="79" s="1"/>
  <c r="M161" i="79" s="1"/>
  <c r="M162" i="79" s="1"/>
  <c r="M163" i="79" s="1"/>
  <c r="M164" i="79" s="1"/>
  <c r="M165" i="79" s="1"/>
  <c r="M166" i="79" s="1"/>
  <c r="M167" i="79" s="1"/>
  <c r="M168" i="79" s="1"/>
  <c r="M169" i="79" s="1"/>
  <c r="M170" i="79" s="1"/>
  <c r="M171" i="79" s="1"/>
  <c r="M172" i="79" s="1"/>
  <c r="M173" i="79" s="1"/>
  <c r="M174" i="79" s="1"/>
  <c r="M175" i="79" s="1"/>
  <c r="M176" i="79" s="1"/>
  <c r="M177" i="79" s="1"/>
  <c r="M178" i="79" s="1"/>
  <c r="M179" i="79" s="1"/>
  <c r="M180" i="79" s="1"/>
  <c r="M181" i="79" s="1"/>
  <c r="M182" i="79" s="1"/>
  <c r="M183" i="79" s="1"/>
  <c r="M184" i="79" s="1"/>
  <c r="M185" i="79" s="1"/>
  <c r="M186" i="79" s="1"/>
  <c r="M187" i="79" s="1"/>
  <c r="M188" i="79" s="1"/>
  <c r="M189" i="79" s="1"/>
  <c r="M190" i="79" s="1"/>
  <c r="M191" i="79" s="1"/>
  <c r="M192" i="79" s="1"/>
  <c r="M193" i="79" s="1"/>
  <c r="M194" i="79" s="1"/>
  <c r="M195" i="79" s="1"/>
  <c r="M196" i="79" s="1"/>
  <c r="M197" i="79" s="1"/>
  <c r="M198" i="79" s="1"/>
  <c r="M199" i="79" s="1"/>
  <c r="M200" i="79" s="1"/>
  <c r="M201" i="79" s="1"/>
  <c r="M202" i="79" s="1"/>
  <c r="M203" i="79" s="1"/>
  <c r="M204" i="79" s="1"/>
  <c r="M205" i="79" s="1"/>
  <c r="M206" i="79" s="1"/>
  <c r="M207" i="79" s="1"/>
  <c r="M208" i="79" s="1"/>
  <c r="M209" i="79" s="1"/>
  <c r="M210" i="79" s="1"/>
  <c r="M211" i="79" s="1"/>
  <c r="M212" i="79" s="1"/>
  <c r="M213" i="79" s="1"/>
  <c r="M214" i="79" s="1"/>
  <c r="M215" i="79" s="1"/>
  <c r="M216" i="79" s="1"/>
  <c r="M217" i="79" s="1"/>
  <c r="M218" i="79" s="1"/>
  <c r="M219" i="79" s="1"/>
  <c r="M220" i="79" s="1"/>
  <c r="M221" i="79" s="1"/>
  <c r="M222" i="79" s="1"/>
  <c r="M223" i="79" s="1"/>
  <c r="M224" i="79" s="1"/>
  <c r="M225" i="79" s="1"/>
  <c r="M226" i="79" s="1"/>
  <c r="M227" i="79" s="1"/>
  <c r="M228" i="79" s="1"/>
  <c r="M229" i="79" s="1"/>
  <c r="M230" i="79" s="1"/>
  <c r="M231" i="79" s="1"/>
  <c r="M232" i="79" s="1"/>
  <c r="M233" i="79" s="1"/>
  <c r="M234" i="79" s="1"/>
  <c r="M235" i="79" s="1"/>
  <c r="M236" i="79" s="1"/>
  <c r="M237" i="79" s="1"/>
  <c r="M238" i="79" s="1"/>
  <c r="M239" i="79" s="1"/>
  <c r="M240" i="79" s="1"/>
  <c r="M241" i="79" s="1"/>
  <c r="M242" i="79" s="1"/>
  <c r="M243" i="79" s="1"/>
  <c r="M244" i="79" s="1"/>
  <c r="M245" i="79" s="1"/>
  <c r="M246" i="79" s="1"/>
  <c r="M247" i="79" s="1"/>
  <c r="M248" i="79" s="1"/>
  <c r="M249" i="79" s="1"/>
  <c r="M250" i="79" s="1"/>
  <c r="M251" i="79" s="1"/>
  <c r="M252" i="79" s="1"/>
  <c r="M253" i="79" s="1"/>
  <c r="M254" i="79" s="1"/>
  <c r="M255" i="79" s="1"/>
  <c r="M256" i="79" s="1"/>
  <c r="M257" i="79" s="1"/>
  <c r="M258" i="79" s="1"/>
  <c r="M259" i="79" s="1"/>
  <c r="M260" i="79" s="1"/>
  <c r="M261" i="79" s="1"/>
  <c r="M262" i="79" s="1"/>
  <c r="M263" i="79" s="1"/>
  <c r="M264" i="79" s="1"/>
  <c r="M265" i="79" s="1"/>
  <c r="M266" i="79" s="1"/>
  <c r="M267" i="79" s="1"/>
  <c r="M268" i="79" s="1"/>
  <c r="M269" i="79" s="1"/>
  <c r="M270" i="79" s="1"/>
  <c r="M271" i="79" s="1"/>
  <c r="M272" i="79" s="1"/>
  <c r="M273" i="79" s="1"/>
  <c r="M274" i="79" s="1"/>
  <c r="M275" i="79" s="1"/>
  <c r="M276" i="79" s="1"/>
  <c r="M277" i="79" s="1"/>
  <c r="M278" i="79" s="1"/>
  <c r="M279" i="79" s="1"/>
  <c r="M280" i="79" s="1"/>
  <c r="M281" i="79" s="1"/>
  <c r="M282" i="79" s="1"/>
  <c r="M283" i="79" s="1"/>
  <c r="M284" i="79" s="1"/>
  <c r="M285" i="79" s="1"/>
  <c r="M286" i="79" s="1"/>
  <c r="M287" i="79" s="1"/>
  <c r="M288" i="79" s="1"/>
  <c r="M289" i="79" s="1"/>
  <c r="M290" i="79" s="1"/>
  <c r="M291" i="79" s="1"/>
  <c r="M292" i="79" s="1"/>
  <c r="M293" i="79" s="1"/>
  <c r="M294" i="79" s="1"/>
  <c r="M295" i="79" s="1"/>
  <c r="M296" i="79" s="1"/>
  <c r="M297" i="79" s="1"/>
  <c r="M298" i="79" s="1"/>
  <c r="M299" i="79" s="1"/>
  <c r="M300" i="79" s="1"/>
  <c r="M301" i="79" s="1"/>
  <c r="M302" i="79" s="1"/>
  <c r="M303" i="79" s="1"/>
  <c r="M304" i="79" s="1"/>
  <c r="M305" i="79" s="1"/>
  <c r="M306" i="79" s="1"/>
  <c r="M307" i="79" s="1"/>
  <c r="M308" i="79" s="1"/>
  <c r="M309" i="79" s="1"/>
  <c r="M310" i="79" s="1"/>
  <c r="M311" i="79" s="1"/>
  <c r="M312" i="79" s="1"/>
  <c r="M313" i="79" s="1"/>
  <c r="M314" i="79" s="1"/>
  <c r="M315" i="79" s="1"/>
  <c r="M316" i="79" s="1"/>
  <c r="M317" i="79" s="1"/>
  <c r="M318" i="79" s="1"/>
  <c r="M319" i="79" s="1"/>
  <c r="M320" i="79" s="1"/>
  <c r="M321" i="79" s="1"/>
  <c r="M322" i="79" s="1"/>
  <c r="M323" i="79" s="1"/>
  <c r="M324" i="79" s="1"/>
  <c r="M325" i="79" s="1"/>
  <c r="M326" i="79" s="1"/>
  <c r="M327" i="79" s="1"/>
  <c r="M328" i="79" s="1"/>
  <c r="M329" i="79" s="1"/>
  <c r="M330" i="79" s="1"/>
  <c r="M331" i="79" s="1"/>
  <c r="M332" i="79" s="1"/>
  <c r="M333" i="79" s="1"/>
  <c r="M334" i="79" s="1"/>
  <c r="M335" i="79" s="1"/>
  <c r="M336" i="79" s="1"/>
  <c r="M337" i="79" s="1"/>
  <c r="M338" i="79" s="1"/>
  <c r="M339" i="79" s="1"/>
  <c r="M340" i="79" s="1"/>
  <c r="M341" i="79" s="1"/>
  <c r="M342" i="79" s="1"/>
  <c r="M343" i="79" s="1"/>
  <c r="M344" i="79" s="1"/>
  <c r="M345" i="79" s="1"/>
  <c r="M346" i="79" s="1"/>
  <c r="M347" i="79" s="1"/>
  <c r="M348" i="79" s="1"/>
  <c r="M349" i="79" s="1"/>
  <c r="M350" i="79" s="1"/>
  <c r="M351" i="79" s="1"/>
  <c r="M352" i="79" s="1"/>
  <c r="M353" i="79" s="1"/>
  <c r="M354" i="79" s="1"/>
  <c r="M355" i="79" s="1"/>
  <c r="M356" i="79" s="1"/>
  <c r="M357" i="79" s="1"/>
  <c r="M358" i="79" s="1"/>
  <c r="M359" i="79" s="1"/>
  <c r="M360" i="79" s="1"/>
  <c r="M361" i="79" s="1"/>
  <c r="M362" i="79" s="1"/>
  <c r="M363" i="79" s="1"/>
  <c r="M364" i="79" s="1"/>
  <c r="M365" i="79" s="1"/>
  <c r="M366" i="79" s="1"/>
  <c r="M367" i="79" s="1"/>
  <c r="M368" i="79" s="1"/>
  <c r="M369" i="79" s="1"/>
  <c r="M370" i="79" s="1"/>
  <c r="M371" i="79" s="1"/>
  <c r="M372" i="79" s="1"/>
  <c r="M373" i="79" s="1"/>
  <c r="C249" i="72"/>
  <c r="C290" i="72" s="1"/>
  <c r="C331" i="72" s="1"/>
  <c r="A154" i="72"/>
  <c r="B44" i="118"/>
  <c r="B45" i="118"/>
  <c r="B37" i="118"/>
  <c r="B36" i="118"/>
  <c r="B43" i="118"/>
  <c r="B42" i="118"/>
  <c r="B34" i="118"/>
  <c r="B35" i="118"/>
  <c r="B41" i="118"/>
  <c r="B40" i="118"/>
  <c r="B39" i="118"/>
  <c r="B38" i="118"/>
  <c r="B33" i="118"/>
  <c r="E58" i="118"/>
  <c r="J129" i="72"/>
  <c r="D7" i="79" s="1"/>
  <c r="C148" i="119"/>
  <c r="H148" i="119" s="1"/>
  <c r="J7" i="79"/>
  <c r="K129" i="72"/>
  <c r="G79" i="72"/>
  <c r="P79" i="72" s="1"/>
  <c r="T99" i="72"/>
  <c r="BI6" i="115" s="1"/>
  <c r="F202" i="119"/>
  <c r="H139" i="72"/>
  <c r="F201" i="119"/>
  <c r="T96" i="72"/>
  <c r="G200" i="119" s="1"/>
  <c r="F198" i="119"/>
  <c r="T90" i="72"/>
  <c r="I132" i="72" s="1"/>
  <c r="T87" i="72"/>
  <c r="G193" i="119" s="1"/>
  <c r="T86" i="72"/>
  <c r="BI4" i="115" s="1"/>
  <c r="U155" i="72"/>
  <c r="U201" i="72" s="1"/>
  <c r="V6" i="72"/>
  <c r="V11" i="72" s="1"/>
  <c r="C85" i="119"/>
  <c r="K85" i="119" s="1"/>
  <c r="E71" i="118"/>
  <c r="E72" i="118"/>
  <c r="C86" i="119"/>
  <c r="H86" i="119" s="1"/>
  <c r="C143" i="119"/>
  <c r="H143" i="119" s="1"/>
  <c r="L24" i="115"/>
  <c r="P24" i="115" s="1"/>
  <c r="V24" i="115" s="1"/>
  <c r="N96" i="41"/>
  <c r="H104" i="73" s="1"/>
  <c r="E153" i="119"/>
  <c r="J153" i="119" s="1"/>
  <c r="D365" i="119"/>
  <c r="J365" i="119" s="1"/>
  <c r="M13" i="119"/>
  <c r="M9" i="119"/>
  <c r="I10" i="119"/>
  <c r="AO41" i="115"/>
  <c r="C349" i="119"/>
  <c r="H349" i="119" s="1"/>
  <c r="BO40" i="115"/>
  <c r="BP40" i="115" s="1"/>
  <c r="BZ36" i="115"/>
  <c r="C363" i="119"/>
  <c r="I363" i="119" s="1"/>
  <c r="D216" i="119"/>
  <c r="H216" i="119" s="1"/>
  <c r="M216" i="119" s="1"/>
  <c r="L35" i="115"/>
  <c r="U189" i="72"/>
  <c r="C296" i="119" s="1"/>
  <c r="M296" i="119" s="1"/>
  <c r="C365" i="119"/>
  <c r="I365" i="119" s="1"/>
  <c r="U176" i="72"/>
  <c r="C284" i="119" s="1"/>
  <c r="C170" i="119"/>
  <c r="H170" i="119" s="1"/>
  <c r="E147" i="119"/>
  <c r="J147" i="119" s="1"/>
  <c r="E140" i="119"/>
  <c r="J140" i="119" s="1"/>
  <c r="C163" i="119"/>
  <c r="H163" i="119" s="1"/>
  <c r="AO22" i="115"/>
  <c r="AO24" i="115"/>
  <c r="I16" i="107"/>
  <c r="C299" i="119"/>
  <c r="C175" i="119"/>
  <c r="AC185" i="119"/>
  <c r="AC187" i="119"/>
  <c r="AC186" i="119"/>
  <c r="E142" i="119"/>
  <c r="J142" i="119" s="1"/>
  <c r="BZ34" i="115"/>
  <c r="C1" i="73"/>
  <c r="C140" i="119"/>
  <c r="H140" i="119" s="1"/>
  <c r="D49" i="115"/>
  <c r="H49" i="115" s="1"/>
  <c r="BQ36" i="115"/>
  <c r="BR36" i="115" s="1"/>
  <c r="BV36" i="115" s="1"/>
  <c r="BW36" i="115" s="1"/>
  <c r="BX36" i="115" s="1"/>
  <c r="L38" i="115"/>
  <c r="E247" i="119"/>
  <c r="J247" i="119" s="1"/>
  <c r="BO25" i="115"/>
  <c r="BP25" i="115" s="1"/>
  <c r="BV25" i="115" s="1"/>
  <c r="BW25" i="115" s="1"/>
  <c r="BX25" i="115" s="1"/>
  <c r="J156" i="119"/>
  <c r="C142" i="119"/>
  <c r="H142" i="119" s="1"/>
  <c r="C87" i="119"/>
  <c r="K87" i="119" s="1"/>
  <c r="K156" i="119"/>
  <c r="BZ25" i="115"/>
  <c r="L26" i="115"/>
  <c r="E139" i="119"/>
  <c r="J139" i="119" s="1"/>
  <c r="C216" i="119"/>
  <c r="G216" i="119" s="1"/>
  <c r="L216" i="119" s="1"/>
  <c r="J75" i="73"/>
  <c r="AO43" i="115"/>
  <c r="L23" i="115"/>
  <c r="L36" i="115"/>
  <c r="E148" i="119"/>
  <c r="J148" i="119" s="1"/>
  <c r="BZ20" i="115"/>
  <c r="BO26" i="115"/>
  <c r="BP26" i="115" s="1"/>
  <c r="C139" i="119"/>
  <c r="H139" i="119" s="1"/>
  <c r="J155" i="119"/>
  <c r="I236" i="119"/>
  <c r="C2" i="73"/>
  <c r="U159" i="72"/>
  <c r="U202" i="72" s="1"/>
  <c r="D163" i="119"/>
  <c r="I163" i="119" s="1"/>
  <c r="BZ17" i="115"/>
  <c r="AO18" i="115"/>
  <c r="F195" i="119"/>
  <c r="C4" i="97"/>
  <c r="BO34" i="115"/>
  <c r="BP34" i="115" s="1"/>
  <c r="BV34" i="115" s="1"/>
  <c r="BW34" i="115" s="1"/>
  <c r="BX34" i="115" s="1"/>
  <c r="BO19" i="115"/>
  <c r="BP19" i="115" s="1"/>
  <c r="BZ47" i="115"/>
  <c r="AO27" i="115"/>
  <c r="G215" i="72"/>
  <c r="H216" i="72" s="1"/>
  <c r="AO32" i="115"/>
  <c r="E246" i="119"/>
  <c r="O246" i="119" s="1"/>
  <c r="AO37" i="115"/>
  <c r="AO47" i="115"/>
  <c r="N244" i="119"/>
  <c r="U4" i="79"/>
  <c r="N252" i="119"/>
  <c r="H237" i="119"/>
  <c r="I199" i="119"/>
  <c r="BO18" i="115"/>
  <c r="BP18" i="115" s="1"/>
  <c r="BO47" i="115"/>
  <c r="BP47" i="115" s="1"/>
  <c r="BV47" i="115" s="1"/>
  <c r="BW47" i="115" s="1"/>
  <c r="BX47" i="115" s="1"/>
  <c r="AO38" i="115"/>
  <c r="BQ33" i="115"/>
  <c r="BR33" i="115" s="1"/>
  <c r="BO33" i="115"/>
  <c r="BP33" i="115" s="1"/>
  <c r="BQ31" i="115"/>
  <c r="BR31" i="115" s="1"/>
  <c r="BO45" i="115"/>
  <c r="BP45" i="115" s="1"/>
  <c r="BV45" i="115" s="1"/>
  <c r="BW45" i="115" s="1"/>
  <c r="BZ45" i="115"/>
  <c r="BQ20" i="115"/>
  <c r="BR20" i="115" s="1"/>
  <c r="BV20" i="115" s="1"/>
  <c r="BW20" i="115" s="1"/>
  <c r="BX20" i="115" s="1"/>
  <c r="BQ26" i="115"/>
  <c r="BR26" i="115" s="1"/>
  <c r="E238" i="119"/>
  <c r="J238" i="119" s="1"/>
  <c r="F200" i="119"/>
  <c r="BO38" i="115"/>
  <c r="BP38" i="115" s="1"/>
  <c r="E139" i="72"/>
  <c r="Y139" i="72" s="1"/>
  <c r="BZ27" i="115"/>
  <c r="AG14" i="115"/>
  <c r="D364" i="119"/>
  <c r="J364" i="119" s="1"/>
  <c r="D26" i="114"/>
  <c r="H19" i="114"/>
  <c r="H22" i="114" s="1"/>
  <c r="H24" i="114" s="1"/>
  <c r="AO20" i="115"/>
  <c r="V31" i="89"/>
  <c r="V32" i="89" s="1"/>
  <c r="U182" i="72"/>
  <c r="C289" i="119" s="1"/>
  <c r="BQ48" i="115"/>
  <c r="BR48" i="115" s="1"/>
  <c r="AA49" i="115"/>
  <c r="E244" i="119"/>
  <c r="O244" i="119" s="1"/>
  <c r="L238" i="119"/>
  <c r="AO25" i="115"/>
  <c r="AO36" i="115"/>
  <c r="C342" i="119"/>
  <c r="H342" i="119" s="1"/>
  <c r="AI14" i="115"/>
  <c r="BO48" i="115"/>
  <c r="BP48" i="115" s="1"/>
  <c r="E154" i="119"/>
  <c r="J154" i="119" s="1"/>
  <c r="E248" i="119"/>
  <c r="J248" i="119" s="1"/>
  <c r="G246" i="119"/>
  <c r="H62" i="72"/>
  <c r="AO34" i="115"/>
  <c r="BO46" i="115"/>
  <c r="BP46" i="115" s="1"/>
  <c r="BO27" i="115"/>
  <c r="BP27" i="115" s="1"/>
  <c r="BV27" i="115" s="1"/>
  <c r="AR15" i="115"/>
  <c r="BG15" i="115" s="1"/>
  <c r="Z16" i="115"/>
  <c r="AR16" i="115" s="1"/>
  <c r="BG16" i="115" s="1"/>
  <c r="AO21" i="115"/>
  <c r="AO23" i="115"/>
  <c r="AO45" i="115"/>
  <c r="L254" i="119"/>
  <c r="C19" i="114"/>
  <c r="C27" i="114" s="1"/>
  <c r="K630" i="114"/>
  <c r="K632" i="114" s="1"/>
  <c r="B29" i="114"/>
  <c r="B30" i="114" s="1"/>
  <c r="B31" i="114" s="1"/>
  <c r="D28" i="114"/>
  <c r="D6" i="115"/>
  <c r="H6" i="115" s="1"/>
  <c r="C114" i="119"/>
  <c r="BQ21" i="115"/>
  <c r="BR21" i="115" s="1"/>
  <c r="BQ23" i="115"/>
  <c r="BR23" i="115" s="1"/>
  <c r="BV23" i="115" s="1"/>
  <c r="BW23" i="115" s="1"/>
  <c r="L49" i="115"/>
  <c r="D25" i="114"/>
  <c r="BZ41" i="115"/>
  <c r="C154" i="119"/>
  <c r="H154" i="119" s="1"/>
  <c r="D27" i="114"/>
  <c r="F12" i="74"/>
  <c r="H245" i="119"/>
  <c r="J84" i="73"/>
  <c r="AO16" i="115"/>
  <c r="BO29" i="115"/>
  <c r="BP29" i="115" s="1"/>
  <c r="BV29" i="115" s="1"/>
  <c r="BQ18" i="115"/>
  <c r="BR18" i="115" s="1"/>
  <c r="BO21" i="115"/>
  <c r="BP21" i="115" s="1"/>
  <c r="C262" i="119"/>
  <c r="M262" i="119" s="1"/>
  <c r="C173" i="119"/>
  <c r="H173" i="119" s="1"/>
  <c r="BZ29" i="115"/>
  <c r="BQ46" i="115"/>
  <c r="BR46" i="115" s="1"/>
  <c r="C149" i="119"/>
  <c r="H149" i="119" s="1"/>
  <c r="K15" i="114"/>
  <c r="K19" i="114" s="1"/>
  <c r="K22" i="114" s="1"/>
  <c r="AO26" i="115"/>
  <c r="AO31" i="115"/>
  <c r="AO33" i="115"/>
  <c r="BQ41" i="115"/>
  <c r="BR41" i="115" s="1"/>
  <c r="BV41" i="115" s="1"/>
  <c r="AO42" i="115"/>
  <c r="AO44" i="115"/>
  <c r="AO46" i="115"/>
  <c r="F192" i="119"/>
  <c r="T92" i="72"/>
  <c r="G196" i="119" s="1"/>
  <c r="E65" i="41"/>
  <c r="V54" i="115"/>
  <c r="BQ19" i="115"/>
  <c r="BR19" i="115" s="1"/>
  <c r="BQ40" i="115"/>
  <c r="BR40" i="115" s="1"/>
  <c r="BQ17" i="115"/>
  <c r="BR17" i="115" s="1"/>
  <c r="BV17" i="115" s="1"/>
  <c r="BW17" i="115" s="1"/>
  <c r="BX17" i="115" s="1"/>
  <c r="L29" i="115"/>
  <c r="E175" i="119"/>
  <c r="J175" i="119" s="1"/>
  <c r="B17" i="115"/>
  <c r="D110" i="73"/>
  <c r="E110" i="73" s="1"/>
  <c r="F110" i="73" s="1"/>
  <c r="G110" i="73" s="1"/>
  <c r="H110" i="73" s="1"/>
  <c r="I110" i="73" s="1"/>
  <c r="J110" i="73" s="1"/>
  <c r="K110" i="73" s="1"/>
  <c r="D121" i="73" s="1"/>
  <c r="E121" i="73" s="1"/>
  <c r="F121" i="73" s="1"/>
  <c r="G121" i="73" s="1"/>
  <c r="H121" i="73" s="1"/>
  <c r="I121" i="73" s="1"/>
  <c r="J121" i="73" s="1"/>
  <c r="K121" i="73" s="1"/>
  <c r="C364" i="119"/>
  <c r="I364" i="119" s="1"/>
  <c r="AO30" i="115"/>
  <c r="E235" i="119"/>
  <c r="W3" i="72"/>
  <c r="G250" i="119"/>
  <c r="C196" i="119"/>
  <c r="H19" i="73"/>
  <c r="H20" i="73" s="1"/>
  <c r="H21" i="73" s="1"/>
  <c r="BQ44" i="115"/>
  <c r="BR44" i="115" s="1"/>
  <c r="E250" i="119"/>
  <c r="O250" i="119" s="1"/>
  <c r="G235" i="119"/>
  <c r="N254" i="119"/>
  <c r="H49" i="119"/>
  <c r="M49" i="119" s="1"/>
  <c r="N239" i="119"/>
  <c r="N235" i="119"/>
  <c r="G239" i="119"/>
  <c r="M253" i="119"/>
  <c r="I251" i="119"/>
  <c r="M236" i="119"/>
  <c r="O44" i="119"/>
  <c r="P44" i="119" s="1"/>
  <c r="M252" i="119"/>
  <c r="L245" i="119"/>
  <c r="N243" i="119"/>
  <c r="L54" i="118"/>
  <c r="N54" i="118" s="1"/>
  <c r="E253" i="119"/>
  <c r="C116" i="119"/>
  <c r="D9" i="115"/>
  <c r="H9" i="115" s="1"/>
  <c r="L9" i="115" s="1"/>
  <c r="N9" i="115" s="1"/>
  <c r="T9" i="115" s="1"/>
  <c r="BO32" i="115"/>
  <c r="BP32" i="115" s="1"/>
  <c r="I19" i="74"/>
  <c r="G78" i="73"/>
  <c r="H138" i="73"/>
  <c r="N2" i="79"/>
  <c r="AO40" i="115"/>
  <c r="H48" i="119"/>
  <c r="L48" i="119" s="1"/>
  <c r="H251" i="119"/>
  <c r="C218" i="119"/>
  <c r="G218" i="119" s="1"/>
  <c r="L218" i="119" s="1"/>
  <c r="C201" i="119"/>
  <c r="M248" i="119"/>
  <c r="H630" i="114"/>
  <c r="H632" i="114" s="1"/>
  <c r="E55" i="88"/>
  <c r="E56" i="88" s="1"/>
  <c r="D218" i="119"/>
  <c r="H218" i="119" s="1"/>
  <c r="M218" i="119" s="1"/>
  <c r="D160" i="119"/>
  <c r="I160" i="119" s="1"/>
  <c r="B2" i="79"/>
  <c r="C146" i="119"/>
  <c r="H146" i="119" s="1"/>
  <c r="AO28" i="115"/>
  <c r="AO35" i="115"/>
  <c r="AO48" i="115"/>
  <c r="I241" i="119"/>
  <c r="L247" i="119"/>
  <c r="I200" i="119"/>
  <c r="M10" i="119"/>
  <c r="F40" i="44"/>
  <c r="V81" i="72"/>
  <c r="D45" i="115"/>
  <c r="H45" i="115" s="1"/>
  <c r="H2" i="79"/>
  <c r="BA4" i="115"/>
  <c r="AO15" i="115"/>
  <c r="L241" i="119"/>
  <c r="E143" i="119"/>
  <c r="J143" i="119" s="1"/>
  <c r="G53" i="74"/>
  <c r="G54" i="74" s="1"/>
  <c r="H54" i="74" s="1"/>
  <c r="G71" i="73"/>
  <c r="N247" i="119"/>
  <c r="G249" i="119"/>
  <c r="C197" i="119"/>
  <c r="AO17" i="115"/>
  <c r="AO19" i="115"/>
  <c r="E251" i="119"/>
  <c r="J251" i="119" s="1"/>
  <c r="I245" i="119"/>
  <c r="G237" i="119"/>
  <c r="I14" i="119"/>
  <c r="T94" i="72"/>
  <c r="G198" i="119" s="1"/>
  <c r="G233" i="119"/>
  <c r="BQ32" i="115"/>
  <c r="BR32" i="115" s="1"/>
  <c r="BQ22" i="115"/>
  <c r="BR22" i="115" s="1"/>
  <c r="BV22" i="115" s="1"/>
  <c r="BW22" i="115" s="1"/>
  <c r="BX22" i="115" s="1"/>
  <c r="BQ39" i="115"/>
  <c r="BR39" i="115" s="1"/>
  <c r="BZ22" i="115"/>
  <c r="BQ37" i="115"/>
  <c r="BR37" i="115" s="1"/>
  <c r="B14" i="115"/>
  <c r="D14" i="115" s="1"/>
  <c r="F14" i="115" s="1"/>
  <c r="H14" i="115" s="1"/>
  <c r="BO39" i="115"/>
  <c r="BP39" i="115" s="1"/>
  <c r="BO37" i="115"/>
  <c r="BP37" i="115" s="1"/>
  <c r="C4" i="107"/>
  <c r="L27" i="115"/>
  <c r="H39" i="74"/>
  <c r="G105" i="73"/>
  <c r="G94" i="73"/>
  <c r="C83" i="57"/>
  <c r="N253" i="119"/>
  <c r="I232" i="119"/>
  <c r="M254" i="119"/>
  <c r="C194" i="119"/>
  <c r="H20" i="72"/>
  <c r="D59" i="73" s="1"/>
  <c r="F59" i="73" s="1"/>
  <c r="J59" i="73" s="1"/>
  <c r="C95" i="119"/>
  <c r="H29" i="72"/>
  <c r="D68" i="73" s="1"/>
  <c r="D26" i="115"/>
  <c r="H26" i="115" s="1"/>
  <c r="H46" i="119"/>
  <c r="L46" i="119" s="1"/>
  <c r="I237" i="119"/>
  <c r="I238" i="119"/>
  <c r="G248" i="119"/>
  <c r="H246" i="119"/>
  <c r="C193" i="119"/>
  <c r="H37" i="72"/>
  <c r="D76" i="73" s="1"/>
  <c r="BQ42" i="115"/>
  <c r="BR42" i="115" s="1"/>
  <c r="BQ30" i="115"/>
  <c r="BR30" i="115" s="1"/>
  <c r="D47" i="115"/>
  <c r="X50" i="115"/>
  <c r="BQ16" i="115"/>
  <c r="BR16" i="115" s="1"/>
  <c r="N1" i="79"/>
  <c r="BO16" i="115"/>
  <c r="BP16" i="115" s="1"/>
  <c r="I246" i="119"/>
  <c r="F203" i="119"/>
  <c r="P46" i="72"/>
  <c r="P25" i="72"/>
  <c r="D22" i="115" s="1"/>
  <c r="H22" i="115" s="1"/>
  <c r="K105" i="73"/>
  <c r="BO42" i="115"/>
  <c r="BP42" i="115" s="1"/>
  <c r="A138" i="73"/>
  <c r="A139" i="73" s="1"/>
  <c r="A140" i="73" s="1"/>
  <c r="A141" i="73" s="1"/>
  <c r="A142" i="73" s="1"/>
  <c r="A143" i="73" s="1"/>
  <c r="A144" i="73" s="1"/>
  <c r="A145" i="73" s="1"/>
  <c r="A146" i="73" s="1"/>
  <c r="A147" i="73" s="1"/>
  <c r="A148" i="73" s="1"/>
  <c r="A149" i="73" s="1"/>
  <c r="A150" i="73" s="1"/>
  <c r="A151" i="73" s="1"/>
  <c r="A152" i="73" s="1"/>
  <c r="A153" i="73" s="1"/>
  <c r="A154" i="73" s="1"/>
  <c r="C7" i="74"/>
  <c r="E141" i="119"/>
  <c r="J141" i="119" s="1"/>
  <c r="M239" i="119"/>
  <c r="E33" i="57"/>
  <c r="C318" i="119" s="1"/>
  <c r="T1" i="79"/>
  <c r="C3" i="97"/>
  <c r="I175" i="119"/>
  <c r="M247" i="119"/>
  <c r="C102" i="119"/>
  <c r="S79" i="72"/>
  <c r="S114" i="72" s="1"/>
  <c r="X52" i="115"/>
  <c r="BO44" i="115"/>
  <c r="BP44" i="115" s="1"/>
  <c r="B1" i="79"/>
  <c r="L25" i="115"/>
  <c r="AO39" i="115"/>
  <c r="G232" i="119"/>
  <c r="H238" i="119"/>
  <c r="M232" i="119"/>
  <c r="F196" i="119"/>
  <c r="J73" i="73"/>
  <c r="BO30" i="115"/>
  <c r="BP30" i="115" s="1"/>
  <c r="V50" i="115"/>
  <c r="V52" i="115"/>
  <c r="V23" i="72"/>
  <c r="V24" i="72" s="1"/>
  <c r="C3" i="107"/>
  <c r="E122" i="41"/>
  <c r="C176" i="119" s="1"/>
  <c r="C153" i="119"/>
  <c r="H153" i="119" s="1"/>
  <c r="AO29" i="115"/>
  <c r="D361" i="119"/>
  <c r="J361" i="119" s="1"/>
  <c r="C361" i="119"/>
  <c r="I361" i="119" s="1"/>
  <c r="F105" i="73"/>
  <c r="P38" i="72"/>
  <c r="H38" i="72" s="1"/>
  <c r="D77" i="73" s="1"/>
  <c r="C124" i="119"/>
  <c r="H124" i="119" s="1"/>
  <c r="H1" i="79"/>
  <c r="C141" i="119"/>
  <c r="H141" i="119" s="1"/>
  <c r="H87" i="73"/>
  <c r="C33" i="57"/>
  <c r="G240" i="119"/>
  <c r="M11" i="119"/>
  <c r="M102" i="73"/>
  <c r="C294" i="119"/>
  <c r="M294" i="119" s="1"/>
  <c r="S49" i="119"/>
  <c r="Q49" i="119"/>
  <c r="R49" i="119"/>
  <c r="J36" i="119"/>
  <c r="K161" i="119"/>
  <c r="K155" i="119"/>
  <c r="K160" i="119"/>
  <c r="K146" i="119"/>
  <c r="K134" i="119"/>
  <c r="K170" i="119"/>
  <c r="J161" i="119"/>
  <c r="J172" i="119"/>
  <c r="J149" i="119"/>
  <c r="J146" i="119"/>
  <c r="K168" i="119"/>
  <c r="J168" i="119"/>
  <c r="J170" i="119"/>
  <c r="K167" i="119"/>
  <c r="J162" i="119"/>
  <c r="K149" i="119"/>
  <c r="J166" i="119"/>
  <c r="K172" i="119"/>
  <c r="K166" i="119"/>
  <c r="K162" i="119"/>
  <c r="I36" i="119"/>
  <c r="K164" i="119"/>
  <c r="K147" i="119"/>
  <c r="L36" i="119"/>
  <c r="J169" i="119"/>
  <c r="K140" i="119"/>
  <c r="K175" i="119"/>
  <c r="J160" i="119"/>
  <c r="K136" i="119"/>
  <c r="J167" i="119"/>
  <c r="K169" i="119"/>
  <c r="K173" i="119"/>
  <c r="J136" i="119"/>
  <c r="K163" i="119"/>
  <c r="J173" i="119"/>
  <c r="K139" i="119"/>
  <c r="J163" i="119"/>
  <c r="P50" i="72"/>
  <c r="C160" i="119"/>
  <c r="H160" i="119" s="1"/>
  <c r="BQ14" i="115"/>
  <c r="BR14" i="115" s="1"/>
  <c r="G252" i="119"/>
  <c r="L252" i="119"/>
  <c r="L244" i="119"/>
  <c r="G244" i="119"/>
  <c r="G236" i="119"/>
  <c r="L236" i="119"/>
  <c r="M243" i="119"/>
  <c r="H243" i="119"/>
  <c r="M235" i="119"/>
  <c r="H235" i="119"/>
  <c r="N250" i="119"/>
  <c r="I250" i="119"/>
  <c r="I242" i="119"/>
  <c r="N242" i="119"/>
  <c r="I234" i="119"/>
  <c r="N234" i="119"/>
  <c r="I15" i="119"/>
  <c r="D24" i="115"/>
  <c r="H24" i="115" s="1"/>
  <c r="H27" i="72"/>
  <c r="D66" i="73" s="1"/>
  <c r="C93" i="119"/>
  <c r="BZ14" i="115"/>
  <c r="G251" i="119"/>
  <c r="L251" i="119"/>
  <c r="L243" i="119"/>
  <c r="G243" i="119"/>
  <c r="E202" i="119"/>
  <c r="T98" i="72"/>
  <c r="BZ28" i="115"/>
  <c r="BQ28" i="115"/>
  <c r="BR28" i="115" s="1"/>
  <c r="BV28" i="115" s="1"/>
  <c r="C330" i="119"/>
  <c r="H330" i="119" s="1"/>
  <c r="E58" i="57"/>
  <c r="C331" i="119" s="1"/>
  <c r="U170" i="72"/>
  <c r="C278" i="119" s="1"/>
  <c r="C281" i="119"/>
  <c r="M281" i="119" s="1"/>
  <c r="BO24" i="115"/>
  <c r="BP24" i="115" s="1"/>
  <c r="BZ24" i="115"/>
  <c r="BQ24" i="115"/>
  <c r="BR24" i="115" s="1"/>
  <c r="J164" i="119"/>
  <c r="H250" i="119"/>
  <c r="M250" i="119"/>
  <c r="I233" i="119"/>
  <c r="N233" i="119"/>
  <c r="C168" i="119"/>
  <c r="H168" i="119" s="1"/>
  <c r="P59" i="72"/>
  <c r="C362" i="119"/>
  <c r="I362" i="119" s="1"/>
  <c r="D362" i="119"/>
  <c r="J362" i="119" s="1"/>
  <c r="T97" i="72"/>
  <c r="E201" i="119"/>
  <c r="G242" i="119"/>
  <c r="L242" i="119"/>
  <c r="G234" i="119"/>
  <c r="L234" i="119"/>
  <c r="M241" i="119"/>
  <c r="H241" i="119"/>
  <c r="M233" i="119"/>
  <c r="H233" i="119"/>
  <c r="T93" i="72"/>
  <c r="F197" i="119"/>
  <c r="G191" i="119"/>
  <c r="M191" i="119" s="1"/>
  <c r="I128" i="72"/>
  <c r="D128" i="72" s="1"/>
  <c r="C83" i="119"/>
  <c r="H16" i="72"/>
  <c r="D55" i="73" s="1"/>
  <c r="H81" i="41"/>
  <c r="F93" i="73" s="1"/>
  <c r="F94" i="73" s="1"/>
  <c r="D217" i="119"/>
  <c r="H217" i="119" s="1"/>
  <c r="M217" i="119" s="1"/>
  <c r="E48" i="41"/>
  <c r="C151" i="119" s="1"/>
  <c r="E254" i="119"/>
  <c r="I249" i="119"/>
  <c r="C198" i="119"/>
  <c r="G188" i="119"/>
  <c r="P113" i="72"/>
  <c r="T113" i="72" s="1"/>
  <c r="L39" i="72"/>
  <c r="P23" i="72"/>
  <c r="J102" i="73"/>
  <c r="L48" i="115"/>
  <c r="J63" i="73"/>
  <c r="E137" i="119"/>
  <c r="J137" i="119" s="1"/>
  <c r="P15" i="72"/>
  <c r="B12" i="115" s="1"/>
  <c r="L53" i="118"/>
  <c r="N53" i="118" s="1"/>
  <c r="E252" i="119"/>
  <c r="L46" i="118"/>
  <c r="N46" i="118" s="1"/>
  <c r="E245" i="119"/>
  <c r="L66" i="72"/>
  <c r="H52" i="72"/>
  <c r="D91" i="73" s="1"/>
  <c r="C115" i="119"/>
  <c r="J64" i="73"/>
  <c r="E138" i="119"/>
  <c r="J138" i="119" s="1"/>
  <c r="B13" i="115"/>
  <c r="BZ23" i="115"/>
  <c r="BO35" i="115"/>
  <c r="BP35" i="115" s="1"/>
  <c r="BQ35" i="115"/>
  <c r="BR35" i="115" s="1"/>
  <c r="C203" i="119"/>
  <c r="L32" i="72"/>
  <c r="L55" i="72"/>
  <c r="X32" i="89"/>
  <c r="AC14" i="115" s="1"/>
  <c r="AC49" i="115" s="1"/>
  <c r="Y31" i="89"/>
  <c r="J101" i="73"/>
  <c r="L47" i="115"/>
  <c r="C214" i="119"/>
  <c r="G214" i="119" s="1"/>
  <c r="L214" i="119" s="1"/>
  <c r="D214" i="119"/>
  <c r="H214" i="119" s="1"/>
  <c r="M214" i="119" s="1"/>
  <c r="K71" i="73"/>
  <c r="BO31" i="115"/>
  <c r="BP31" i="115" s="1"/>
  <c r="H94" i="73"/>
  <c r="T50" i="119"/>
  <c r="S50" i="119"/>
  <c r="H46" i="41"/>
  <c r="C215" i="119"/>
  <c r="G215" i="119" s="1"/>
  <c r="L215" i="119" s="1"/>
  <c r="D215" i="119"/>
  <c r="H215" i="119" s="1"/>
  <c r="M215" i="119" s="1"/>
  <c r="F153" i="72"/>
  <c r="H98" i="73"/>
  <c r="T48" i="119"/>
  <c r="R48" i="119"/>
  <c r="Q48" i="119"/>
  <c r="N240" i="119"/>
  <c r="M249" i="119"/>
  <c r="BQ38" i="115"/>
  <c r="BR38" i="115" s="1"/>
  <c r="J123" i="103"/>
  <c r="I123" i="103" s="1"/>
  <c r="O53" i="119"/>
  <c r="S53" i="119" s="1"/>
  <c r="H53" i="119"/>
  <c r="J53" i="119" s="1"/>
  <c r="M234" i="119"/>
  <c r="N94" i="41"/>
  <c r="K84" i="119"/>
  <c r="H84" i="119"/>
  <c r="D30" i="115"/>
  <c r="H30" i="115" s="1"/>
  <c r="C147" i="119"/>
  <c r="H147" i="119" s="1"/>
  <c r="H223" i="72"/>
  <c r="M101" i="73"/>
  <c r="C293" i="119"/>
  <c r="M293" i="119" s="1"/>
  <c r="E249" i="119"/>
  <c r="N248" i="119"/>
  <c r="H242" i="119"/>
  <c r="E132" i="72"/>
  <c r="Y132" i="72" s="1"/>
  <c r="C195" i="119"/>
  <c r="P63" i="72"/>
  <c r="C125" i="119" s="1"/>
  <c r="H126" i="119" s="1"/>
  <c r="C174" i="119"/>
  <c r="L39" i="115"/>
  <c r="E157" i="119"/>
  <c r="J157" i="119" s="1"/>
  <c r="H51" i="72"/>
  <c r="D90" i="73" s="1"/>
  <c r="H50" i="119"/>
  <c r="I50" i="119" s="1"/>
  <c r="J35" i="119"/>
  <c r="E112" i="41"/>
  <c r="L48" i="72"/>
  <c r="H53" i="72"/>
  <c r="D92" i="73" s="1"/>
  <c r="K87" i="73"/>
  <c r="O52" i="119"/>
  <c r="P52" i="119" s="1"/>
  <c r="L253" i="119"/>
  <c r="G59" i="74"/>
  <c r="G60" i="74" s="1"/>
  <c r="H60" i="74" s="1"/>
  <c r="G47" i="74"/>
  <c r="G48" i="74" s="1"/>
  <c r="H48" i="74" s="1"/>
  <c r="K78" i="73"/>
  <c r="H17" i="72"/>
  <c r="D56" i="73" s="1"/>
  <c r="F56" i="73" s="1"/>
  <c r="J56" i="73" s="1"/>
  <c r="AD97" i="72"/>
  <c r="AD123" i="72"/>
  <c r="AD102" i="72"/>
  <c r="AD119" i="72"/>
  <c r="AD112" i="72"/>
  <c r="AD98" i="72"/>
  <c r="AD121" i="72"/>
  <c r="AD111" i="72"/>
  <c r="AD108" i="72"/>
  <c r="AD115" i="72"/>
  <c r="AD117" i="72"/>
  <c r="Z92" i="72"/>
  <c r="AD103" i="72"/>
  <c r="AD113" i="72"/>
  <c r="AD120" i="72"/>
  <c r="AD122" i="72"/>
  <c r="AD99" i="72"/>
  <c r="AD101" i="72"/>
  <c r="AD100" i="72"/>
  <c r="AD106" i="72"/>
  <c r="AD105" i="72"/>
  <c r="AD116" i="72"/>
  <c r="AD104" i="72"/>
  <c r="AD118" i="72"/>
  <c r="AD114" i="72"/>
  <c r="AD96" i="72"/>
  <c r="AD109" i="72"/>
  <c r="U19" i="89"/>
  <c r="E29" i="89"/>
  <c r="V21" i="89"/>
  <c r="C274" i="119"/>
  <c r="M274" i="119" s="1"/>
  <c r="BZ43" i="115"/>
  <c r="BO43" i="115"/>
  <c r="BP43" i="115" s="1"/>
  <c r="BV43" i="115" s="1"/>
  <c r="AE49" i="115"/>
  <c r="H78" i="73"/>
  <c r="H71" i="73"/>
  <c r="BZ15" i="115"/>
  <c r="BO15" i="115"/>
  <c r="BP15" i="115" s="1"/>
  <c r="BV15" i="115" s="1"/>
  <c r="R46" i="119"/>
  <c r="S46" i="119"/>
  <c r="P46" i="119"/>
  <c r="T46" i="119"/>
  <c r="Q46" i="119"/>
  <c r="C219" i="119"/>
  <c r="G219" i="119" s="1"/>
  <c r="L219" i="119" s="1"/>
  <c r="J47" i="119"/>
  <c r="M47" i="119"/>
  <c r="I47" i="119"/>
  <c r="K47" i="119"/>
  <c r="L47" i="119"/>
  <c r="M51" i="119"/>
  <c r="I51" i="119"/>
  <c r="J51" i="119"/>
  <c r="K51" i="119"/>
  <c r="L51" i="119"/>
  <c r="T54" i="119"/>
  <c r="Q54" i="119"/>
  <c r="R54" i="119"/>
  <c r="S54" i="119"/>
  <c r="P54" i="119"/>
  <c r="M45" i="119"/>
  <c r="I45" i="119"/>
  <c r="L45" i="119"/>
  <c r="K45" i="119"/>
  <c r="J45" i="119"/>
  <c r="M44" i="119"/>
  <c r="K44" i="119"/>
  <c r="J44" i="119"/>
  <c r="L44" i="119"/>
  <c r="I44" i="119"/>
  <c r="I52" i="119"/>
  <c r="L52" i="119"/>
  <c r="M52" i="119"/>
  <c r="K52" i="119"/>
  <c r="J52" i="119"/>
  <c r="P49" i="119"/>
  <c r="M240" i="119"/>
  <c r="M244" i="119"/>
  <c r="M16" i="119"/>
  <c r="H45" i="72"/>
  <c r="D84" i="73" s="1"/>
  <c r="C109" i="119"/>
  <c r="H24" i="72"/>
  <c r="D63" i="73" s="1"/>
  <c r="C90" i="119"/>
  <c r="Q50" i="119"/>
  <c r="H54" i="119"/>
  <c r="R50" i="119"/>
  <c r="M19" i="119"/>
  <c r="O45" i="119"/>
  <c r="E83" i="57"/>
  <c r="C344" i="119" s="1"/>
  <c r="H41" i="72"/>
  <c r="C105" i="119"/>
  <c r="C92" i="119"/>
  <c r="H26" i="72"/>
  <c r="D65" i="73" s="1"/>
  <c r="H28" i="72"/>
  <c r="D67" i="73" s="1"/>
  <c r="C94" i="119"/>
  <c r="F86" i="73"/>
  <c r="F87" i="73" s="1"/>
  <c r="S65" i="41"/>
  <c r="O47" i="119"/>
  <c r="T95" i="72"/>
  <c r="F199" i="119"/>
  <c r="C101" i="119"/>
  <c r="H36" i="72"/>
  <c r="D75" i="73" s="1"/>
  <c r="H30" i="72"/>
  <c r="D69" i="73" s="1"/>
  <c r="C96" i="119"/>
  <c r="H29" i="41"/>
  <c r="E29" i="41"/>
  <c r="S48" i="119"/>
  <c r="P48" i="119"/>
  <c r="O51" i="119"/>
  <c r="I13" i="119"/>
  <c r="L35" i="119"/>
  <c r="H65" i="72"/>
  <c r="D104" i="73" s="1"/>
  <c r="H43" i="72"/>
  <c r="D82" i="73" s="1"/>
  <c r="C107" i="119"/>
  <c r="L107" i="72"/>
  <c r="P107" i="72"/>
  <c r="I107" i="72"/>
  <c r="H35" i="72"/>
  <c r="D74" i="73" s="1"/>
  <c r="J107" i="72"/>
  <c r="C100" i="119"/>
  <c r="P50" i="119"/>
  <c r="C106" i="119"/>
  <c r="H42" i="72"/>
  <c r="D81" i="73" s="1"/>
  <c r="H34" i="72"/>
  <c r="C99" i="119"/>
  <c r="H64" i="72"/>
  <c r="AA50" i="115" l="1"/>
  <c r="AA18" i="72"/>
  <c r="Z18" i="72"/>
  <c r="AB17" i="72"/>
  <c r="Y26" i="72"/>
  <c r="G109" i="72"/>
  <c r="K126" i="119" s="1"/>
  <c r="F54" i="122"/>
  <c r="F40" i="122"/>
  <c r="F52" i="122"/>
  <c r="F44" i="122"/>
  <c r="F42" i="122"/>
  <c r="F37" i="122"/>
  <c r="F49" i="122"/>
  <c r="F48" i="122"/>
  <c r="F47" i="122"/>
  <c r="F46" i="122"/>
  <c r="F53" i="122"/>
  <c r="F51" i="122"/>
  <c r="F50" i="122"/>
  <c r="F35" i="122"/>
  <c r="F41" i="122"/>
  <c r="F43" i="122"/>
  <c r="F36" i="122"/>
  <c r="F45" i="122"/>
  <c r="F39" i="122"/>
  <c r="F38" i="122"/>
  <c r="D39" i="115"/>
  <c r="H39" i="115" s="1"/>
  <c r="I19" i="122"/>
  <c r="E232" i="119"/>
  <c r="J232" i="119" s="1"/>
  <c r="L33" i="118"/>
  <c r="N33" i="118" s="1"/>
  <c r="K152" i="119"/>
  <c r="K153" i="119"/>
  <c r="K157" i="119"/>
  <c r="K141" i="119"/>
  <c r="K154" i="119"/>
  <c r="K138" i="119"/>
  <c r="K142" i="119"/>
  <c r="K148" i="119"/>
  <c r="K137" i="119"/>
  <c r="K143" i="119"/>
  <c r="I47" i="97"/>
  <c r="P84" i="72"/>
  <c r="F190" i="119" s="1"/>
  <c r="Y126" i="72"/>
  <c r="Y135" i="72"/>
  <c r="U192" i="72"/>
  <c r="C298" i="119" s="1"/>
  <c r="M298" i="119" s="1"/>
  <c r="Y141" i="72"/>
  <c r="Y137" i="72"/>
  <c r="N90" i="41"/>
  <c r="Y134" i="72"/>
  <c r="O4" i="79"/>
  <c r="C245" i="72"/>
  <c r="C286" i="72" s="1"/>
  <c r="C327" i="72" s="1"/>
  <c r="Y131" i="72"/>
  <c r="Y136" i="72"/>
  <c r="V41" i="115"/>
  <c r="E243" i="119"/>
  <c r="O243" i="119" s="1"/>
  <c r="J196" i="119"/>
  <c r="J193" i="119"/>
  <c r="J194" i="119"/>
  <c r="V44" i="115"/>
  <c r="V22" i="115"/>
  <c r="J195" i="119"/>
  <c r="V21" i="115"/>
  <c r="J192" i="119"/>
  <c r="J203" i="119"/>
  <c r="J188" i="119"/>
  <c r="J198" i="119"/>
  <c r="L37" i="118"/>
  <c r="N37" i="118" s="1"/>
  <c r="V42" i="115"/>
  <c r="R30" i="115"/>
  <c r="X30" i="115" s="1"/>
  <c r="J185" i="119"/>
  <c r="J186" i="119"/>
  <c r="Q32" i="89"/>
  <c r="S32" i="89" s="1"/>
  <c r="J197" i="119"/>
  <c r="I201" i="119"/>
  <c r="J201" i="119"/>
  <c r="J184" i="119"/>
  <c r="J183" i="119"/>
  <c r="J202" i="119"/>
  <c r="J187" i="119"/>
  <c r="V43" i="115"/>
  <c r="H193" i="119"/>
  <c r="E241" i="119"/>
  <c r="J241" i="119" s="1"/>
  <c r="H192" i="119"/>
  <c r="C240" i="72"/>
  <c r="C281" i="72" s="1"/>
  <c r="C322" i="72" s="1"/>
  <c r="H198" i="119"/>
  <c r="H183" i="119"/>
  <c r="H184" i="119"/>
  <c r="H201" i="119"/>
  <c r="H185" i="119"/>
  <c r="H202" i="119"/>
  <c r="H186" i="119"/>
  <c r="H203" i="119"/>
  <c r="H197" i="119"/>
  <c r="H187" i="119"/>
  <c r="H196" i="119"/>
  <c r="H188" i="119"/>
  <c r="H195" i="119"/>
  <c r="E233" i="119"/>
  <c r="O233" i="119" s="1"/>
  <c r="R34" i="115"/>
  <c r="X34" i="115" s="1"/>
  <c r="V31" i="115"/>
  <c r="E234" i="119"/>
  <c r="O234" i="119" s="1"/>
  <c r="V20" i="115"/>
  <c r="E240" i="119"/>
  <c r="J240" i="119" s="1"/>
  <c r="E239" i="119"/>
  <c r="J239" i="119" s="1"/>
  <c r="I137" i="72"/>
  <c r="G249" i="72" s="1"/>
  <c r="E237" i="119"/>
  <c r="O237" i="119" s="1"/>
  <c r="R37" i="115"/>
  <c r="X37" i="115" s="1"/>
  <c r="V45" i="115"/>
  <c r="L43" i="118"/>
  <c r="N43" i="118" s="1"/>
  <c r="R24" i="115"/>
  <c r="X24" i="115" s="1"/>
  <c r="R32" i="115"/>
  <c r="X32" i="115" s="1"/>
  <c r="G195" i="119"/>
  <c r="M195" i="119" s="1"/>
  <c r="V195" i="119" s="1"/>
  <c r="AE195" i="119" s="1"/>
  <c r="V46" i="115"/>
  <c r="P39" i="115"/>
  <c r="V39" i="115" s="1"/>
  <c r="P25" i="115"/>
  <c r="V25" i="115" s="1"/>
  <c r="P29" i="115"/>
  <c r="V29" i="115" s="1"/>
  <c r="P48" i="115"/>
  <c r="V48" i="115" s="1"/>
  <c r="P27" i="115"/>
  <c r="V27" i="115" s="1"/>
  <c r="P35" i="115"/>
  <c r="V35" i="115" s="1"/>
  <c r="P36" i="115"/>
  <c r="V36" i="115" s="1"/>
  <c r="P26" i="115"/>
  <c r="V26" i="115" s="1"/>
  <c r="P49" i="115"/>
  <c r="V49" i="115" s="1"/>
  <c r="P23" i="115"/>
  <c r="V23" i="115" s="1"/>
  <c r="P38" i="115"/>
  <c r="V38" i="115" s="1"/>
  <c r="P47" i="115"/>
  <c r="V47" i="115" s="1"/>
  <c r="K256" i="72"/>
  <c r="L256" i="72" s="1"/>
  <c r="I202" i="72"/>
  <c r="I203" i="72" s="1"/>
  <c r="C33" i="118"/>
  <c r="C44" i="118"/>
  <c r="C34" i="118"/>
  <c r="C42" i="118"/>
  <c r="C35" i="118"/>
  <c r="C38" i="118"/>
  <c r="C43" i="118"/>
  <c r="C39" i="118"/>
  <c r="C37" i="118"/>
  <c r="C40" i="118"/>
  <c r="C45" i="118"/>
  <c r="C41" i="118"/>
  <c r="C36" i="118"/>
  <c r="O238" i="119"/>
  <c r="H98" i="57"/>
  <c r="E184" i="119"/>
  <c r="H244" i="72"/>
  <c r="J326" i="72"/>
  <c r="M132" i="72"/>
  <c r="M326" i="72"/>
  <c r="R326" i="72"/>
  <c r="H326" i="72"/>
  <c r="T285" i="72"/>
  <c r="P326" i="72"/>
  <c r="S285" i="72"/>
  <c r="K326" i="72"/>
  <c r="L326" i="72"/>
  <c r="Q326" i="72"/>
  <c r="I326" i="72"/>
  <c r="D8" i="79"/>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A112" i="79" s="1"/>
  <c r="A113" i="79" s="1"/>
  <c r="A114" i="79" s="1"/>
  <c r="A115" i="79" s="1"/>
  <c r="A116" i="79" s="1"/>
  <c r="A117" i="79" s="1"/>
  <c r="A118" i="79" s="1"/>
  <c r="A119" i="79" s="1"/>
  <c r="A120" i="79" s="1"/>
  <c r="A121" i="79" s="1"/>
  <c r="A122" i="79" s="1"/>
  <c r="A123" i="79" s="1"/>
  <c r="A124" i="79" s="1"/>
  <c r="A125" i="79" s="1"/>
  <c r="A126" i="79" s="1"/>
  <c r="A127" i="79" s="1"/>
  <c r="A128" i="79" s="1"/>
  <c r="A129" i="79" s="1"/>
  <c r="A130" i="79" s="1"/>
  <c r="A131" i="79" s="1"/>
  <c r="A132" i="79" s="1"/>
  <c r="A133" i="79" s="1"/>
  <c r="A134" i="79" s="1"/>
  <c r="A135" i="79" s="1"/>
  <c r="A136" i="79" s="1"/>
  <c r="A137" i="79" s="1"/>
  <c r="A138" i="79" s="1"/>
  <c r="A139" i="79" s="1"/>
  <c r="A140" i="79" s="1"/>
  <c r="A141" i="79" s="1"/>
  <c r="A142" i="79" s="1"/>
  <c r="A143" i="79" s="1"/>
  <c r="A144" i="79" s="1"/>
  <c r="A145" i="79" s="1"/>
  <c r="A146" i="79" s="1"/>
  <c r="A147" i="79" s="1"/>
  <c r="A148" i="79" s="1"/>
  <c r="A149" i="79" s="1"/>
  <c r="A150" i="79" s="1"/>
  <c r="A151" i="79" s="1"/>
  <c r="A152" i="79" s="1"/>
  <c r="A153" i="79" s="1"/>
  <c r="A154" i="79" s="1"/>
  <c r="A155" i="79" s="1"/>
  <c r="A156" i="79" s="1"/>
  <c r="A157" i="79" s="1"/>
  <c r="A158" i="79" s="1"/>
  <c r="A159" i="79" s="1"/>
  <c r="A160" i="79" s="1"/>
  <c r="A161" i="79" s="1"/>
  <c r="A162" i="79" s="1"/>
  <c r="A163" i="79" s="1"/>
  <c r="A164" i="79" s="1"/>
  <c r="A165" i="79" s="1"/>
  <c r="A166" i="79" s="1"/>
  <c r="A167" i="79" s="1"/>
  <c r="A168" i="79" s="1"/>
  <c r="A169" i="79" s="1"/>
  <c r="A170" i="79" s="1"/>
  <c r="A171" i="79" s="1"/>
  <c r="A172" i="79" s="1"/>
  <c r="A173" i="79" s="1"/>
  <c r="A174" i="79" s="1"/>
  <c r="A175" i="79" s="1"/>
  <c r="A176" i="79" s="1"/>
  <c r="A177" i="79" s="1"/>
  <c r="A178" i="79" s="1"/>
  <c r="A179" i="79" s="1"/>
  <c r="A180" i="79" s="1"/>
  <c r="A181" i="79" s="1"/>
  <c r="A182" i="79" s="1"/>
  <c r="A183" i="79" s="1"/>
  <c r="A184" i="79" s="1"/>
  <c r="A185" i="79" s="1"/>
  <c r="A186" i="79" s="1"/>
  <c r="A187" i="79" s="1"/>
  <c r="A188" i="79" s="1"/>
  <c r="A189" i="79" s="1"/>
  <c r="A190" i="79" s="1"/>
  <c r="A191" i="79" s="1"/>
  <c r="A192" i="79" s="1"/>
  <c r="A193" i="79" s="1"/>
  <c r="A194" i="79" s="1"/>
  <c r="A195" i="79" s="1"/>
  <c r="A196" i="79" s="1"/>
  <c r="A197" i="79" s="1"/>
  <c r="A198" i="79" s="1"/>
  <c r="A199" i="79" s="1"/>
  <c r="A200" i="79" s="1"/>
  <c r="A201" i="79" s="1"/>
  <c r="A202" i="79" s="1"/>
  <c r="A203" i="79" s="1"/>
  <c r="A204" i="79" s="1"/>
  <c r="A205" i="79" s="1"/>
  <c r="A206" i="79" s="1"/>
  <c r="A207" i="79" s="1"/>
  <c r="A208" i="79" s="1"/>
  <c r="A209" i="79" s="1"/>
  <c r="A210" i="79" s="1"/>
  <c r="A211" i="79" s="1"/>
  <c r="A212" i="79" s="1"/>
  <c r="A213" i="79" s="1"/>
  <c r="A214" i="79" s="1"/>
  <c r="A215" i="79" s="1"/>
  <c r="A216" i="79" s="1"/>
  <c r="A217" i="79" s="1"/>
  <c r="A218" i="79" s="1"/>
  <c r="A219" i="79" s="1"/>
  <c r="A220" i="79" s="1"/>
  <c r="A221" i="79" s="1"/>
  <c r="A222" i="79" s="1"/>
  <c r="A223" i="79" s="1"/>
  <c r="A224" i="79" s="1"/>
  <c r="A225" i="79" s="1"/>
  <c r="A226" i="79" s="1"/>
  <c r="A227" i="79" s="1"/>
  <c r="A228" i="79" s="1"/>
  <c r="A229" i="79" s="1"/>
  <c r="A230" i="79" s="1"/>
  <c r="A231" i="79" s="1"/>
  <c r="A232" i="79" s="1"/>
  <c r="A233" i="79" s="1"/>
  <c r="A234" i="79" s="1"/>
  <c r="A235" i="79" s="1"/>
  <c r="A236" i="79" s="1"/>
  <c r="A237" i="79" s="1"/>
  <c r="A238" i="79" s="1"/>
  <c r="A239" i="79" s="1"/>
  <c r="A240" i="79" s="1"/>
  <c r="A241" i="79" s="1"/>
  <c r="A242" i="79" s="1"/>
  <c r="A243" i="79" s="1"/>
  <c r="A244" i="79" s="1"/>
  <c r="A245" i="79" s="1"/>
  <c r="A246" i="79" s="1"/>
  <c r="A247" i="79" s="1"/>
  <c r="A248" i="79" s="1"/>
  <c r="A249" i="79" s="1"/>
  <c r="A250" i="79" s="1"/>
  <c r="A251" i="79" s="1"/>
  <c r="A252" i="79" s="1"/>
  <c r="A253" i="79" s="1"/>
  <c r="A254" i="79" s="1"/>
  <c r="A255" i="79" s="1"/>
  <c r="A256" i="79" s="1"/>
  <c r="A257" i="79" s="1"/>
  <c r="A258" i="79" s="1"/>
  <c r="A259" i="79" s="1"/>
  <c r="A260" i="79" s="1"/>
  <c r="A261" i="79" s="1"/>
  <c r="A262" i="79" s="1"/>
  <c r="A263" i="79" s="1"/>
  <c r="A264" i="79" s="1"/>
  <c r="A265" i="79" s="1"/>
  <c r="A266" i="79" s="1"/>
  <c r="A267" i="79" s="1"/>
  <c r="A268" i="79" s="1"/>
  <c r="A269" i="79" s="1"/>
  <c r="A270" i="79" s="1"/>
  <c r="A271" i="79" s="1"/>
  <c r="A272" i="79" s="1"/>
  <c r="A273" i="79" s="1"/>
  <c r="A274" i="79" s="1"/>
  <c r="A275" i="79" s="1"/>
  <c r="A276" i="79" s="1"/>
  <c r="A277" i="79" s="1"/>
  <c r="A278" i="79" s="1"/>
  <c r="A279" i="79" s="1"/>
  <c r="A280" i="79" s="1"/>
  <c r="A281" i="79" s="1"/>
  <c r="A282" i="79" s="1"/>
  <c r="A283" i="79" s="1"/>
  <c r="A284" i="79" s="1"/>
  <c r="A285" i="79" s="1"/>
  <c r="A286" i="79" s="1"/>
  <c r="A287" i="79" s="1"/>
  <c r="A288" i="79" s="1"/>
  <c r="A289" i="79" s="1"/>
  <c r="A290" i="79" s="1"/>
  <c r="A291" i="79" s="1"/>
  <c r="A292" i="79" s="1"/>
  <c r="A293" i="79" s="1"/>
  <c r="A294" i="79" s="1"/>
  <c r="A295" i="79" s="1"/>
  <c r="A296" i="79" s="1"/>
  <c r="A297" i="79" s="1"/>
  <c r="A298" i="79" s="1"/>
  <c r="A299" i="79" s="1"/>
  <c r="A300" i="79" s="1"/>
  <c r="A301" i="79" s="1"/>
  <c r="A302" i="79" s="1"/>
  <c r="A303" i="79" s="1"/>
  <c r="A304" i="79" s="1"/>
  <c r="A305" i="79" s="1"/>
  <c r="A306" i="79" s="1"/>
  <c r="A307" i="79" s="1"/>
  <c r="A308" i="79" s="1"/>
  <c r="A309" i="79" s="1"/>
  <c r="A310" i="79" s="1"/>
  <c r="A311" i="79" s="1"/>
  <c r="A312" i="79" s="1"/>
  <c r="A313" i="79" s="1"/>
  <c r="A314" i="79" s="1"/>
  <c r="A315" i="79" s="1"/>
  <c r="A316" i="79" s="1"/>
  <c r="A317" i="79" s="1"/>
  <c r="A318" i="79" s="1"/>
  <c r="A319" i="79" s="1"/>
  <c r="A320" i="79" s="1"/>
  <c r="A321" i="79" s="1"/>
  <c r="A322" i="79" s="1"/>
  <c r="A323" i="79" s="1"/>
  <c r="A324" i="79" s="1"/>
  <c r="A325" i="79" s="1"/>
  <c r="A326" i="79" s="1"/>
  <c r="A327" i="79" s="1"/>
  <c r="A328" i="79" s="1"/>
  <c r="A329" i="79" s="1"/>
  <c r="A330" i="79" s="1"/>
  <c r="A331" i="79" s="1"/>
  <c r="A332" i="79" s="1"/>
  <c r="A333" i="79" s="1"/>
  <c r="A334" i="79" s="1"/>
  <c r="A335" i="79" s="1"/>
  <c r="A336" i="79" s="1"/>
  <c r="A337" i="79" s="1"/>
  <c r="A338" i="79" s="1"/>
  <c r="A339" i="79" s="1"/>
  <c r="A340" i="79" s="1"/>
  <c r="A341" i="79" s="1"/>
  <c r="A342" i="79" s="1"/>
  <c r="A343" i="79" s="1"/>
  <c r="A344" i="79" s="1"/>
  <c r="A345" i="79" s="1"/>
  <c r="A346" i="79" s="1"/>
  <c r="A347" i="79" s="1"/>
  <c r="A348" i="79" s="1"/>
  <c r="A349" i="79" s="1"/>
  <c r="A350" i="79" s="1"/>
  <c r="A351" i="79" s="1"/>
  <c r="A352" i="79" s="1"/>
  <c r="A353" i="79" s="1"/>
  <c r="A354" i="79" s="1"/>
  <c r="A355" i="79" s="1"/>
  <c r="A356" i="79" s="1"/>
  <c r="A357" i="79" s="1"/>
  <c r="A358" i="79" s="1"/>
  <c r="A359" i="79" s="1"/>
  <c r="A360" i="79" s="1"/>
  <c r="A361" i="79" s="1"/>
  <c r="A362" i="79" s="1"/>
  <c r="A363" i="79" s="1"/>
  <c r="A364" i="79" s="1"/>
  <c r="A365" i="79" s="1"/>
  <c r="A366" i="79" s="1"/>
  <c r="A367" i="79" s="1"/>
  <c r="A368" i="79" s="1"/>
  <c r="A369" i="79" s="1"/>
  <c r="A370" i="79" s="1"/>
  <c r="A371" i="79" s="1"/>
  <c r="A372" i="79" s="1"/>
  <c r="A373" i="79" s="1"/>
  <c r="A374" i="79" s="1"/>
  <c r="A375" i="79" s="1"/>
  <c r="A376" i="79" s="1"/>
  <c r="A377" i="79" s="1"/>
  <c r="A378" i="79" s="1"/>
  <c r="A379" i="79" s="1"/>
  <c r="A380" i="79" s="1"/>
  <c r="A381" i="79" s="1"/>
  <c r="A382" i="79" s="1"/>
  <c r="A383" i="79" s="1"/>
  <c r="A384" i="79" s="1"/>
  <c r="A385" i="79" s="1"/>
  <c r="A386" i="79" s="1"/>
  <c r="A387" i="79" s="1"/>
  <c r="A388" i="79" s="1"/>
  <c r="A389" i="79" s="1"/>
  <c r="A390" i="79" s="1"/>
  <c r="A391" i="79" s="1"/>
  <c r="A392" i="79" s="1"/>
  <c r="A393" i="79" s="1"/>
  <c r="A394" i="79" s="1"/>
  <c r="A395" i="79" s="1"/>
  <c r="A396" i="79" s="1"/>
  <c r="A397" i="79" s="1"/>
  <c r="A398" i="79" s="1"/>
  <c r="A399" i="79" s="1"/>
  <c r="A400" i="79" s="1"/>
  <c r="A401" i="79" s="1"/>
  <c r="A402" i="79" s="1"/>
  <c r="A403" i="79" s="1"/>
  <c r="A404" i="79" s="1"/>
  <c r="A405" i="79" s="1"/>
  <c r="A406" i="79" s="1"/>
  <c r="A407" i="79" s="1"/>
  <c r="A408" i="79" s="1"/>
  <c r="A409" i="79" s="1"/>
  <c r="A410" i="79" s="1"/>
  <c r="A411" i="79" s="1"/>
  <c r="A412" i="79" s="1"/>
  <c r="A413" i="79" s="1"/>
  <c r="A414" i="79" s="1"/>
  <c r="A415" i="79" s="1"/>
  <c r="A416" i="79" s="1"/>
  <c r="A417" i="79" s="1"/>
  <c r="A418" i="79" s="1"/>
  <c r="A419" i="79" s="1"/>
  <c r="A420" i="79" s="1"/>
  <c r="A421" i="79" s="1"/>
  <c r="A422" i="79" s="1"/>
  <c r="A423" i="79" s="1"/>
  <c r="A424" i="79" s="1"/>
  <c r="A425" i="79" s="1"/>
  <c r="A426" i="79" s="1"/>
  <c r="A427" i="79" s="1"/>
  <c r="A428" i="79" s="1"/>
  <c r="A429" i="79" s="1"/>
  <c r="A430" i="79" s="1"/>
  <c r="A431" i="79" s="1"/>
  <c r="A432" i="79" s="1"/>
  <c r="A433" i="79" s="1"/>
  <c r="A434" i="79" s="1"/>
  <c r="A435" i="79" s="1"/>
  <c r="A436" i="79" s="1"/>
  <c r="A437" i="79" s="1"/>
  <c r="A438" i="79" s="1"/>
  <c r="A439" i="79" s="1"/>
  <c r="A440" i="79" s="1"/>
  <c r="A441" i="79" s="1"/>
  <c r="A442" i="79" s="1"/>
  <c r="A443" i="79" s="1"/>
  <c r="A444" i="79" s="1"/>
  <c r="A445" i="79" s="1"/>
  <c r="A446" i="79" s="1"/>
  <c r="A447" i="79" s="1"/>
  <c r="A448" i="79" s="1"/>
  <c r="A449" i="79" s="1"/>
  <c r="A450" i="79" s="1"/>
  <c r="A451" i="79" s="1"/>
  <c r="A452" i="79" s="1"/>
  <c r="A453" i="79" s="1"/>
  <c r="A454" i="79" s="1"/>
  <c r="A455" i="79" s="1"/>
  <c r="A456" i="79" s="1"/>
  <c r="A457" i="79" s="1"/>
  <c r="A458" i="79" s="1"/>
  <c r="A459" i="79" s="1"/>
  <c r="A460" i="79" s="1"/>
  <c r="A461" i="79" s="1"/>
  <c r="A462" i="79" s="1"/>
  <c r="A463" i="79" s="1"/>
  <c r="A464" i="79" s="1"/>
  <c r="A465" i="79" s="1"/>
  <c r="A466" i="79" s="1"/>
  <c r="A467" i="79" s="1"/>
  <c r="A468" i="79" s="1"/>
  <c r="A469" i="79" s="1"/>
  <c r="A470" i="79" s="1"/>
  <c r="A471" i="79" s="1"/>
  <c r="A472" i="79" s="1"/>
  <c r="A473" i="79" s="1"/>
  <c r="A474" i="79" s="1"/>
  <c r="A475" i="79" s="1"/>
  <c r="A476" i="79" s="1"/>
  <c r="A477" i="79" s="1"/>
  <c r="A478" i="79" s="1"/>
  <c r="A479" i="79" s="1"/>
  <c r="A480" i="79" s="1"/>
  <c r="A481" i="79" s="1"/>
  <c r="A482" i="79" s="1"/>
  <c r="A483" i="79" s="1"/>
  <c r="A484" i="79" s="1"/>
  <c r="A485" i="79" s="1"/>
  <c r="A486" i="79" s="1"/>
  <c r="A487" i="79" s="1"/>
  <c r="A488" i="79" s="1"/>
  <c r="A489" i="79" s="1"/>
  <c r="A490" i="79" s="1"/>
  <c r="A491" i="79" s="1"/>
  <c r="A492" i="79" s="1"/>
  <c r="A493" i="79" s="1"/>
  <c r="BV26" i="115"/>
  <c r="BW26" i="115" s="1"/>
  <c r="G203" i="119"/>
  <c r="AF203" i="119" s="1"/>
  <c r="G192" i="119"/>
  <c r="M192" i="119" s="1"/>
  <c r="V192" i="119" s="1"/>
  <c r="AE192" i="119" s="1"/>
  <c r="I140" i="72"/>
  <c r="I129" i="72"/>
  <c r="M76" i="73" s="1"/>
  <c r="N76" i="73" s="1"/>
  <c r="I130" i="72"/>
  <c r="BK3" i="115"/>
  <c r="V202" i="72"/>
  <c r="C263" i="119"/>
  <c r="M263" i="119" s="1"/>
  <c r="H85" i="119"/>
  <c r="N255" i="119"/>
  <c r="CA20" i="115"/>
  <c r="CA36" i="115"/>
  <c r="K86" i="119"/>
  <c r="CA34" i="115"/>
  <c r="BV48" i="115"/>
  <c r="BW48" i="115" s="1"/>
  <c r="BV19" i="115"/>
  <c r="BW19" i="115" s="1"/>
  <c r="BX19" i="115" s="1"/>
  <c r="CA19" i="115" s="1"/>
  <c r="BV33" i="115"/>
  <c r="BW33" i="115" s="1"/>
  <c r="BX33" i="115" s="1"/>
  <c r="O247" i="119"/>
  <c r="L49" i="119"/>
  <c r="U184" i="72"/>
  <c r="C291" i="119" s="1"/>
  <c r="CA47" i="115"/>
  <c r="C28" i="114"/>
  <c r="BV44" i="115"/>
  <c r="BW44" i="115" s="1"/>
  <c r="BX44" i="115" s="1"/>
  <c r="CA44" i="115" s="1"/>
  <c r="C267" i="119"/>
  <c r="M267" i="119" s="1"/>
  <c r="K46" i="107"/>
  <c r="C227" i="119" s="1"/>
  <c r="I227" i="119" s="1"/>
  <c r="R44" i="119"/>
  <c r="U160" i="72"/>
  <c r="C268" i="119" s="1"/>
  <c r="BV40" i="115"/>
  <c r="BW40" i="115" s="1"/>
  <c r="BX40" i="115" s="1"/>
  <c r="CA40" i="115" s="1"/>
  <c r="BV46" i="115"/>
  <c r="BW46" i="115" s="1"/>
  <c r="I255" i="119"/>
  <c r="O251" i="119"/>
  <c r="K49" i="119"/>
  <c r="I49" i="119"/>
  <c r="J49" i="119"/>
  <c r="I196" i="119"/>
  <c r="H95" i="119"/>
  <c r="H87" i="119"/>
  <c r="H175" i="119"/>
  <c r="AF188" i="119"/>
  <c r="M200" i="119"/>
  <c r="S200" i="119" s="1"/>
  <c r="M193" i="119"/>
  <c r="O193" i="119" s="1"/>
  <c r="I198" i="119"/>
  <c r="H116" i="119"/>
  <c r="M196" i="119"/>
  <c r="M198" i="119"/>
  <c r="I197" i="119"/>
  <c r="K114" i="119"/>
  <c r="M278" i="119"/>
  <c r="I135" i="72"/>
  <c r="U190" i="72"/>
  <c r="C297" i="119" s="1"/>
  <c r="O248" i="119"/>
  <c r="BV18" i="115"/>
  <c r="BW18" i="115" s="1"/>
  <c r="F40" i="115"/>
  <c r="D47" i="97"/>
  <c r="G42" i="97" s="1"/>
  <c r="BV39" i="115"/>
  <c r="BW39" i="115" s="1"/>
  <c r="BX39" i="115" s="1"/>
  <c r="CA39" i="115" s="1"/>
  <c r="J246" i="119"/>
  <c r="K24" i="114"/>
  <c r="I18" i="97" s="1"/>
  <c r="CA17" i="115"/>
  <c r="D30" i="114"/>
  <c r="C103" i="119"/>
  <c r="D29" i="114"/>
  <c r="C100" i="57"/>
  <c r="D101" i="73"/>
  <c r="AK14" i="115"/>
  <c r="AK49" i="115" s="1"/>
  <c r="BX45" i="115"/>
  <c r="CA45" i="115" s="1"/>
  <c r="M98" i="73"/>
  <c r="M188" i="119"/>
  <c r="Q188" i="119" s="1"/>
  <c r="BV37" i="115"/>
  <c r="BW37" i="115" s="1"/>
  <c r="BX37" i="115" s="1"/>
  <c r="C29" i="114"/>
  <c r="C82" i="119"/>
  <c r="H15" i="72"/>
  <c r="D54" i="73" s="1"/>
  <c r="BW27" i="115"/>
  <c r="BX27" i="115" s="1"/>
  <c r="CA27" i="115" s="1"/>
  <c r="BV21" i="115"/>
  <c r="BW21" i="115" s="1"/>
  <c r="BX21" i="115" s="1"/>
  <c r="CA21" i="115" s="1"/>
  <c r="E19" i="114"/>
  <c r="E25" i="114" s="1"/>
  <c r="BV30" i="115"/>
  <c r="BW30" i="115" s="1"/>
  <c r="BX30" i="115" s="1"/>
  <c r="CA30" i="115" s="1"/>
  <c r="C30" i="114"/>
  <c r="J250" i="119"/>
  <c r="C26" i="114"/>
  <c r="K95" i="119"/>
  <c r="C25" i="114"/>
  <c r="I133" i="72"/>
  <c r="H327" i="72" s="1"/>
  <c r="D19" i="115"/>
  <c r="H19" i="115" s="1"/>
  <c r="J48" i="119"/>
  <c r="E21" i="73"/>
  <c r="AI49" i="115"/>
  <c r="BV16" i="115"/>
  <c r="BW16" i="115" s="1"/>
  <c r="BX16" i="115" s="1"/>
  <c r="CA16" i="115" s="1"/>
  <c r="CA22" i="115"/>
  <c r="BX23" i="115"/>
  <c r="CA23" i="115" s="1"/>
  <c r="H114" i="119"/>
  <c r="BV38" i="115"/>
  <c r="BW38" i="115" s="1"/>
  <c r="BX38" i="115" s="1"/>
  <c r="CA38" i="115" s="1"/>
  <c r="M48" i="119"/>
  <c r="C110" i="119"/>
  <c r="BS14" i="115"/>
  <c r="BT14" i="115" s="1"/>
  <c r="BV14" i="115" s="1"/>
  <c r="I19" i="97"/>
  <c r="BV31" i="115"/>
  <c r="BW31" i="115" s="1"/>
  <c r="H46" i="72"/>
  <c r="D85" i="73" s="1"/>
  <c r="H25" i="72"/>
  <c r="D64" i="73" s="1"/>
  <c r="J244" i="119"/>
  <c r="Z17" i="115"/>
  <c r="BN16" i="115"/>
  <c r="K46" i="119"/>
  <c r="I46" i="119"/>
  <c r="C91" i="119"/>
  <c r="K91" i="119" s="1"/>
  <c r="BW41" i="115"/>
  <c r="BX41" i="115" s="1"/>
  <c r="CA41" i="115" s="1"/>
  <c r="J105" i="73"/>
  <c r="L68" i="72"/>
  <c r="BV32" i="115"/>
  <c r="BW32" i="115" s="1"/>
  <c r="BX32" i="115" s="1"/>
  <c r="P47" i="72"/>
  <c r="C158" i="119"/>
  <c r="H158" i="119" s="1"/>
  <c r="O235" i="119"/>
  <c r="J235" i="119"/>
  <c r="K116" i="119"/>
  <c r="T44" i="119"/>
  <c r="Q44" i="119"/>
  <c r="R53" i="119"/>
  <c r="P53" i="119"/>
  <c r="S44" i="119"/>
  <c r="T53" i="119"/>
  <c r="Q53" i="119"/>
  <c r="U171" i="72"/>
  <c r="C279" i="119" s="1"/>
  <c r="I48" i="119"/>
  <c r="K48" i="119"/>
  <c r="Q81" i="41"/>
  <c r="Q125" i="41" s="1"/>
  <c r="Q8" i="89" s="1"/>
  <c r="Q24" i="89" s="1"/>
  <c r="Q30" i="89" s="1"/>
  <c r="D33" i="115"/>
  <c r="H33" i="115" s="1"/>
  <c r="BV42" i="115"/>
  <c r="BW42" i="115" s="1"/>
  <c r="BX42" i="115" s="1"/>
  <c r="E81" i="41"/>
  <c r="P54" i="72" s="1"/>
  <c r="J253" i="119"/>
  <c r="O253" i="119"/>
  <c r="AF191" i="119"/>
  <c r="T79" i="72"/>
  <c r="G184" i="119" s="1"/>
  <c r="AE116" i="72"/>
  <c r="K102" i="119"/>
  <c r="H102" i="119"/>
  <c r="J46" i="119"/>
  <c r="M46" i="119"/>
  <c r="AF200" i="119"/>
  <c r="H47" i="115"/>
  <c r="F39" i="115"/>
  <c r="H71" i="74"/>
  <c r="V25" i="72"/>
  <c r="AF193" i="119"/>
  <c r="BW28" i="115"/>
  <c r="BX28" i="115" s="1"/>
  <c r="CA28" i="115" s="1"/>
  <c r="S9" i="41"/>
  <c r="C134" i="119"/>
  <c r="K83" i="119"/>
  <c r="H83" i="119"/>
  <c r="D31" i="114"/>
  <c r="C31" i="114"/>
  <c r="B32" i="114"/>
  <c r="BW29" i="115"/>
  <c r="BX29" i="115" s="1"/>
  <c r="CA29" i="115" s="1"/>
  <c r="BV35" i="115"/>
  <c r="O254" i="119"/>
  <c r="J254" i="119"/>
  <c r="D129" i="72"/>
  <c r="G238" i="72"/>
  <c r="H238" i="72" s="1"/>
  <c r="I238" i="72" s="1"/>
  <c r="J238" i="72" s="1"/>
  <c r="K238" i="72" s="1"/>
  <c r="L238" i="72" s="1"/>
  <c r="M238" i="72" s="1"/>
  <c r="P238" i="72" s="1"/>
  <c r="Q238" i="72" s="1"/>
  <c r="R238" i="72" s="1"/>
  <c r="S238" i="72" s="1"/>
  <c r="T238" i="72" s="1"/>
  <c r="G279" i="72" s="1"/>
  <c r="H279" i="72" s="1"/>
  <c r="I279" i="72" s="1"/>
  <c r="J279" i="72" s="1"/>
  <c r="K279" i="72" s="1"/>
  <c r="L279" i="72" s="1"/>
  <c r="M279" i="72" s="1"/>
  <c r="P279" i="72" s="1"/>
  <c r="Q279" i="72" s="1"/>
  <c r="R279" i="72" s="1"/>
  <c r="S279" i="72" s="1"/>
  <c r="T279" i="72" s="1"/>
  <c r="G320" i="72" s="1"/>
  <c r="H320" i="72" s="1"/>
  <c r="I320" i="72" s="1"/>
  <c r="J320" i="72" s="1"/>
  <c r="K320" i="72" s="1"/>
  <c r="L320" i="72" s="1"/>
  <c r="M320" i="72" s="1"/>
  <c r="H50" i="72"/>
  <c r="D89" i="73" s="1"/>
  <c r="C113" i="119"/>
  <c r="D7" i="115"/>
  <c r="H7" i="115" s="1"/>
  <c r="L7" i="115" s="1"/>
  <c r="N7" i="115" s="1"/>
  <c r="T7" i="115" s="1"/>
  <c r="I203" i="119"/>
  <c r="M50" i="119"/>
  <c r="K50" i="119"/>
  <c r="L50" i="119"/>
  <c r="J50" i="119"/>
  <c r="O249" i="119"/>
  <c r="J249" i="119"/>
  <c r="H59" i="72"/>
  <c r="D98" i="73" s="1"/>
  <c r="D43" i="115"/>
  <c r="H43" i="115" s="1"/>
  <c r="C121" i="119"/>
  <c r="S52" i="119"/>
  <c r="J245" i="119"/>
  <c r="O245" i="119"/>
  <c r="C4" i="79"/>
  <c r="I183" i="119"/>
  <c r="I188" i="119"/>
  <c r="I187" i="119"/>
  <c r="I185" i="119"/>
  <c r="C239" i="72"/>
  <c r="C280" i="72" s="1"/>
  <c r="C321" i="72" s="1"/>
  <c r="G197" i="119"/>
  <c r="I134" i="72"/>
  <c r="S107" i="72"/>
  <c r="X6" i="72" s="1"/>
  <c r="S117" i="72"/>
  <c r="I184" i="119"/>
  <c r="I186" i="119"/>
  <c r="L53" i="119"/>
  <c r="I53" i="119"/>
  <c r="K53" i="119"/>
  <c r="M53" i="119"/>
  <c r="T52" i="119"/>
  <c r="E100" i="57"/>
  <c r="C353" i="119" s="1"/>
  <c r="H63" i="72"/>
  <c r="D102" i="73" s="1"/>
  <c r="D48" i="115"/>
  <c r="S46" i="41"/>
  <c r="F77" i="73"/>
  <c r="F78" i="73" s="1"/>
  <c r="K115" i="119"/>
  <c r="H115" i="119"/>
  <c r="Q52" i="119"/>
  <c r="I195" i="119"/>
  <c r="H222" i="72"/>
  <c r="H224" i="72" s="1"/>
  <c r="I223" i="72"/>
  <c r="O252" i="119"/>
  <c r="J252" i="119"/>
  <c r="H23" i="72"/>
  <c r="D62" i="73" s="1"/>
  <c r="C89" i="119"/>
  <c r="D20" i="115"/>
  <c r="H20" i="115" s="1"/>
  <c r="I138" i="72"/>
  <c r="G201" i="119"/>
  <c r="BV24" i="115"/>
  <c r="BW24" i="115" s="1"/>
  <c r="BX24" i="115" s="1"/>
  <c r="O236" i="119"/>
  <c r="J236" i="119"/>
  <c r="J242" i="119"/>
  <c r="O242" i="119"/>
  <c r="R52" i="119"/>
  <c r="J87" i="73"/>
  <c r="P61" i="72"/>
  <c r="I17" i="122" s="1"/>
  <c r="C172" i="119"/>
  <c r="H172" i="119" s="1"/>
  <c r="I4" i="79"/>
  <c r="C244" i="72"/>
  <c r="C285" i="72" s="1"/>
  <c r="C326" i="72" s="1"/>
  <c r="E94" i="41"/>
  <c r="H99" i="73"/>
  <c r="F55" i="73"/>
  <c r="J55" i="73" s="1"/>
  <c r="C59" i="73"/>
  <c r="G20" i="72" s="1"/>
  <c r="G202" i="119"/>
  <c r="BI7" i="115"/>
  <c r="I139" i="72"/>
  <c r="H93" i="119"/>
  <c r="K93" i="119"/>
  <c r="K106" i="119"/>
  <c r="H106" i="119"/>
  <c r="S29" i="41"/>
  <c r="F70" i="73"/>
  <c r="F71" i="73" s="1"/>
  <c r="H96" i="119"/>
  <c r="K96" i="119"/>
  <c r="D103" i="73"/>
  <c r="I216" i="72"/>
  <c r="J216" i="72" s="1"/>
  <c r="K216" i="72" s="1"/>
  <c r="L216" i="72" s="1"/>
  <c r="M216" i="72" s="1"/>
  <c r="P216" i="72" s="1"/>
  <c r="Q216" i="72" s="1"/>
  <c r="R216" i="72" s="1"/>
  <c r="S216" i="72" s="1"/>
  <c r="T216" i="72" s="1"/>
  <c r="H257" i="72" s="1"/>
  <c r="I257" i="72" s="1"/>
  <c r="J257" i="72" s="1"/>
  <c r="K257" i="72" s="1"/>
  <c r="L257" i="72" s="1"/>
  <c r="M257" i="72" s="1"/>
  <c r="P257" i="72" s="1"/>
  <c r="Q257" i="72" s="1"/>
  <c r="R257" i="72" s="1"/>
  <c r="S257" i="72" s="1"/>
  <c r="T257" i="72" s="1"/>
  <c r="H298" i="72" s="1"/>
  <c r="I298" i="72" s="1"/>
  <c r="J298" i="72" s="1"/>
  <c r="K298" i="72" s="1"/>
  <c r="L298" i="72" s="1"/>
  <c r="M298" i="72" s="1"/>
  <c r="P298" i="72" s="1"/>
  <c r="Q298" i="72" s="1"/>
  <c r="R298" i="72" s="1"/>
  <c r="AF196" i="119"/>
  <c r="K90" i="119"/>
  <c r="H90" i="119"/>
  <c r="G199" i="119"/>
  <c r="I136" i="72"/>
  <c r="BI5" i="115"/>
  <c r="BW15" i="115"/>
  <c r="BX15" i="115" s="1"/>
  <c r="K109" i="119"/>
  <c r="H109" i="119"/>
  <c r="CA25" i="115"/>
  <c r="Y109" i="72"/>
  <c r="Y112" i="72"/>
  <c r="Y118" i="72"/>
  <c r="Y121" i="72"/>
  <c r="Y123" i="72"/>
  <c r="Y117" i="72"/>
  <c r="Y119" i="72"/>
  <c r="Y122" i="72"/>
  <c r="Y115" i="72"/>
  <c r="Y110" i="72"/>
  <c r="Y113" i="72"/>
  <c r="Y116" i="72"/>
  <c r="Y120" i="72"/>
  <c r="Y111" i="72"/>
  <c r="Y114" i="72"/>
  <c r="K107" i="119"/>
  <c r="H107" i="119"/>
  <c r="K92" i="119"/>
  <c r="H92" i="119"/>
  <c r="F184" i="119"/>
  <c r="AF198" i="119"/>
  <c r="E158" i="119"/>
  <c r="J86" i="73"/>
  <c r="L40" i="115"/>
  <c r="S244" i="72"/>
  <c r="K244" i="72"/>
  <c r="I244" i="72"/>
  <c r="G244" i="72"/>
  <c r="H285" i="72"/>
  <c r="R285" i="72"/>
  <c r="R244" i="72"/>
  <c r="P285" i="72"/>
  <c r="J6" i="79"/>
  <c r="Q285" i="72"/>
  <c r="Q244" i="72"/>
  <c r="I285" i="72"/>
  <c r="K285" i="72"/>
  <c r="T244" i="72"/>
  <c r="J285" i="72"/>
  <c r="M244" i="72"/>
  <c r="J244" i="72"/>
  <c r="M285" i="72"/>
  <c r="L285" i="72"/>
  <c r="L244" i="72"/>
  <c r="P244" i="72"/>
  <c r="H39" i="72"/>
  <c r="D73" i="73"/>
  <c r="D78" i="73" s="1"/>
  <c r="H94" i="119"/>
  <c r="K105" i="119"/>
  <c r="H105" i="119"/>
  <c r="I54" i="119"/>
  <c r="L54" i="119"/>
  <c r="K54" i="119"/>
  <c r="M54" i="119"/>
  <c r="J54" i="119"/>
  <c r="BW43" i="115"/>
  <c r="R45" i="119"/>
  <c r="S45" i="119"/>
  <c r="Q45" i="119"/>
  <c r="T45" i="119"/>
  <c r="P45" i="119"/>
  <c r="H100" i="119"/>
  <c r="T51" i="119"/>
  <c r="S51" i="119"/>
  <c r="P51" i="119"/>
  <c r="R51" i="119"/>
  <c r="Q51" i="119"/>
  <c r="P31" i="72"/>
  <c r="C144" i="119"/>
  <c r="H144" i="119" s="1"/>
  <c r="E31" i="41"/>
  <c r="R47" i="119"/>
  <c r="Q47" i="119"/>
  <c r="T47" i="119"/>
  <c r="S47" i="119"/>
  <c r="P47" i="119"/>
  <c r="D80" i="73"/>
  <c r="H127" i="72" l="1"/>
  <c r="T84" i="72"/>
  <c r="P83" i="72" s="1"/>
  <c r="H126" i="72" s="1"/>
  <c r="AA19" i="72"/>
  <c r="Z19" i="72"/>
  <c r="AB18" i="72"/>
  <c r="Y27" i="72"/>
  <c r="O232" i="119"/>
  <c r="I116" i="72"/>
  <c r="J116" i="72" s="1"/>
  <c r="I15" i="122"/>
  <c r="J158" i="119"/>
  <c r="K158" i="119"/>
  <c r="H134" i="119"/>
  <c r="H135" i="119"/>
  <c r="J243" i="119"/>
  <c r="O239" i="119"/>
  <c r="O241" i="119"/>
  <c r="M203" i="119"/>
  <c r="V203" i="119" s="1"/>
  <c r="AD203" i="119" s="1"/>
  <c r="J234" i="119"/>
  <c r="K137" i="72"/>
  <c r="AF195" i="119"/>
  <c r="J237" i="119"/>
  <c r="M137" i="72"/>
  <c r="J233" i="119"/>
  <c r="O240" i="119"/>
  <c r="N57" i="118"/>
  <c r="N64" i="118" s="1"/>
  <c r="N65" i="118" s="1"/>
  <c r="N69" i="118" s="1"/>
  <c r="L57" i="118"/>
  <c r="L64" i="118" s="1"/>
  <c r="L65" i="118" s="1"/>
  <c r="L69" i="118" s="1"/>
  <c r="D6" i="79"/>
  <c r="F37" i="79" s="1"/>
  <c r="G239" i="72"/>
  <c r="H239" i="72" s="1"/>
  <c r="I239" i="72" s="1"/>
  <c r="J239" i="72" s="1"/>
  <c r="K239" i="72" s="1"/>
  <c r="L239" i="72" s="1"/>
  <c r="M239" i="72" s="1"/>
  <c r="P239" i="72" s="1"/>
  <c r="Q239" i="72" s="1"/>
  <c r="R239" i="72" s="1"/>
  <c r="S239" i="72" s="1"/>
  <c r="T239" i="72" s="1"/>
  <c r="G280" i="72" s="1"/>
  <c r="H280" i="72" s="1"/>
  <c r="I280" i="72" s="1"/>
  <c r="J280" i="72" s="1"/>
  <c r="K280" i="72" s="1"/>
  <c r="E154" i="72"/>
  <c r="AF192" i="119"/>
  <c r="R47" i="115"/>
  <c r="X47" i="115" s="1"/>
  <c r="R48" i="115"/>
  <c r="X48" i="115" s="1"/>
  <c r="R26" i="115"/>
  <c r="X26" i="115" s="1"/>
  <c r="E153" i="72"/>
  <c r="R38" i="115"/>
  <c r="X38" i="115" s="1"/>
  <c r="R36" i="115"/>
  <c r="X36" i="115" s="1"/>
  <c r="R29" i="115"/>
  <c r="X29" i="115" s="1"/>
  <c r="P40" i="115"/>
  <c r="V40" i="115" s="1"/>
  <c r="R23" i="115"/>
  <c r="X23" i="115" s="1"/>
  <c r="R35" i="115"/>
  <c r="X35" i="115" s="1"/>
  <c r="R25" i="115"/>
  <c r="X25" i="115" s="1"/>
  <c r="P196" i="119"/>
  <c r="R49" i="115"/>
  <c r="X49" i="115" s="1"/>
  <c r="R27" i="115"/>
  <c r="X27" i="115" s="1"/>
  <c r="R39" i="115"/>
  <c r="X39" i="115" s="1"/>
  <c r="G240" i="72"/>
  <c r="H240" i="72" s="1"/>
  <c r="M322" i="72"/>
  <c r="Q322" i="72"/>
  <c r="R322" i="72"/>
  <c r="P322" i="72"/>
  <c r="K322" i="72"/>
  <c r="L322" i="72"/>
  <c r="M281" i="72"/>
  <c r="P281" i="72"/>
  <c r="Q281" i="72"/>
  <c r="L281" i="72"/>
  <c r="J322" i="72"/>
  <c r="R281" i="72"/>
  <c r="I322" i="72"/>
  <c r="S281" i="72"/>
  <c r="H322" i="72"/>
  <c r="T281" i="72"/>
  <c r="M134" i="72"/>
  <c r="D154" i="72"/>
  <c r="AE154" i="72" s="1"/>
  <c r="L154" i="72"/>
  <c r="I154" i="72"/>
  <c r="H154" i="72"/>
  <c r="N154" i="72"/>
  <c r="K154" i="72"/>
  <c r="A155" i="72"/>
  <c r="E155" i="72" s="1"/>
  <c r="F154" i="72"/>
  <c r="H153" i="72"/>
  <c r="I153" i="72"/>
  <c r="L153" i="72"/>
  <c r="O153" i="72" s="1"/>
  <c r="D153" i="72"/>
  <c r="AE153" i="72" s="1"/>
  <c r="K153" i="72"/>
  <c r="N153" i="72"/>
  <c r="BX26" i="115"/>
  <c r="CA26" i="115" s="1"/>
  <c r="AM14" i="115"/>
  <c r="AO14" i="115" s="1"/>
  <c r="P320" i="72"/>
  <c r="Q320" i="72" s="1"/>
  <c r="R320" i="72" s="1"/>
  <c r="L280" i="72"/>
  <c r="D130" i="72"/>
  <c r="P193" i="119"/>
  <c r="M130" i="72"/>
  <c r="P130" i="72" s="1"/>
  <c r="Q130" i="72" s="1"/>
  <c r="M129" i="72"/>
  <c r="P129" i="72" s="1"/>
  <c r="Q129" i="72" s="1"/>
  <c r="I240" i="72"/>
  <c r="J240" i="72" s="1"/>
  <c r="K240" i="72" s="1"/>
  <c r="L240" i="72" s="1"/>
  <c r="M240" i="72" s="1"/>
  <c r="P240" i="72" s="1"/>
  <c r="Q240" i="72" s="1"/>
  <c r="R240" i="72" s="1"/>
  <c r="S240" i="72" s="1"/>
  <c r="T240" i="72" s="1"/>
  <c r="G281" i="72" s="1"/>
  <c r="H281" i="72" s="1"/>
  <c r="I281" i="72" s="1"/>
  <c r="J281" i="72" s="1"/>
  <c r="K281" i="72" s="1"/>
  <c r="H249" i="72"/>
  <c r="I249" i="72" s="1"/>
  <c r="J249" i="72" s="1"/>
  <c r="K249" i="72" s="1"/>
  <c r="L249" i="72" s="1"/>
  <c r="M249" i="72" s="1"/>
  <c r="P249" i="72" s="1"/>
  <c r="Q249" i="72" s="1"/>
  <c r="R249" i="72" s="1"/>
  <c r="S249" i="72" s="1"/>
  <c r="T249" i="72" s="1"/>
  <c r="G290" i="72" s="1"/>
  <c r="H290" i="72" s="1"/>
  <c r="I290" i="72" s="1"/>
  <c r="J290" i="72" s="1"/>
  <c r="K290" i="72" s="1"/>
  <c r="L290" i="72" s="1"/>
  <c r="M290" i="72" s="1"/>
  <c r="P290" i="72" s="1"/>
  <c r="Q290" i="72" s="1"/>
  <c r="R290" i="72" s="1"/>
  <c r="S290" i="72" s="1"/>
  <c r="T290" i="72" s="1"/>
  <c r="G331" i="72" s="1"/>
  <c r="H331" i="72" s="1"/>
  <c r="I331" i="72" s="1"/>
  <c r="J331" i="72" s="1"/>
  <c r="K331" i="72" s="1"/>
  <c r="L331" i="72" s="1"/>
  <c r="M331" i="72" s="1"/>
  <c r="P331" i="72" s="1"/>
  <c r="Q331" i="72" s="1"/>
  <c r="R331" i="72" s="1"/>
  <c r="E29" i="114"/>
  <c r="CA33" i="115"/>
  <c r="E31" i="114"/>
  <c r="BX48" i="115"/>
  <c r="CA48" i="115" s="1"/>
  <c r="E30" i="114"/>
  <c r="E26" i="114"/>
  <c r="M135" i="72"/>
  <c r="H247" i="72" s="1"/>
  <c r="F33" i="107"/>
  <c r="P200" i="119"/>
  <c r="BX46" i="115"/>
  <c r="CA46" i="115" s="1"/>
  <c r="O200" i="119"/>
  <c r="N193" i="119"/>
  <c r="Q200" i="119"/>
  <c r="Q193" i="119"/>
  <c r="V200" i="119"/>
  <c r="AE200" i="119" s="1"/>
  <c r="S193" i="119"/>
  <c r="N200" i="119"/>
  <c r="V193" i="119"/>
  <c r="AE193" i="119" s="1"/>
  <c r="D164" i="119"/>
  <c r="I164" i="119" s="1"/>
  <c r="I176" i="119" s="1"/>
  <c r="M202" i="119"/>
  <c r="V202" i="119" s="1"/>
  <c r="AE202" i="119" s="1"/>
  <c r="H82" i="119"/>
  <c r="M197" i="119"/>
  <c r="V197" i="119" s="1"/>
  <c r="AE197" i="119" s="1"/>
  <c r="K103" i="119"/>
  <c r="M199" i="119"/>
  <c r="V199" i="119" s="1"/>
  <c r="AE199" i="119" s="1"/>
  <c r="M201" i="119"/>
  <c r="V201" i="119" s="1"/>
  <c r="AE201" i="119" s="1"/>
  <c r="H121" i="119"/>
  <c r="H91" i="119"/>
  <c r="K110" i="119"/>
  <c r="BX18" i="115"/>
  <c r="CA18" i="115" s="1"/>
  <c r="G43" i="97"/>
  <c r="H103" i="119"/>
  <c r="G247" i="72"/>
  <c r="K135" i="72"/>
  <c r="K82" i="119"/>
  <c r="Q35" i="89"/>
  <c r="Q40" i="89" s="1"/>
  <c r="H122" i="41"/>
  <c r="G44" i="97"/>
  <c r="N188" i="119"/>
  <c r="H110" i="119"/>
  <c r="V64" i="72"/>
  <c r="V66" i="72" s="1"/>
  <c r="K93" i="73"/>
  <c r="K94" i="73" s="1"/>
  <c r="K107" i="73" s="1"/>
  <c r="E18" i="73" s="1"/>
  <c r="CA24" i="115"/>
  <c r="M133" i="72"/>
  <c r="P6" i="79"/>
  <c r="R48" i="79" s="1"/>
  <c r="H21" i="72"/>
  <c r="G245" i="72"/>
  <c r="S196" i="119"/>
  <c r="V196" i="119"/>
  <c r="AE196" i="119" s="1"/>
  <c r="Q191" i="119"/>
  <c r="V191" i="119"/>
  <c r="AE191" i="119" s="1"/>
  <c r="S188" i="119"/>
  <c r="V188" i="119"/>
  <c r="AE188" i="119" s="1"/>
  <c r="O198" i="119"/>
  <c r="V198" i="119"/>
  <c r="AE198" i="119" s="1"/>
  <c r="P188" i="119"/>
  <c r="E28" i="114"/>
  <c r="E27" i="114"/>
  <c r="U196" i="72"/>
  <c r="J194" i="72" s="1"/>
  <c r="P191" i="119"/>
  <c r="BW14" i="115"/>
  <c r="BX14" i="115" s="1"/>
  <c r="C164" i="119"/>
  <c r="H164" i="119" s="1"/>
  <c r="E83" i="41"/>
  <c r="C165" i="119" s="1"/>
  <c r="BN17" i="115"/>
  <c r="Z18" i="115"/>
  <c r="AR17" i="115"/>
  <c r="BG17" i="115" s="1"/>
  <c r="CA42" i="115"/>
  <c r="D40" i="115"/>
  <c r="H40" i="115" s="1"/>
  <c r="H47" i="72"/>
  <c r="D86" i="73" s="1"/>
  <c r="C111" i="119"/>
  <c r="N191" i="119"/>
  <c r="O191" i="119"/>
  <c r="S191" i="119"/>
  <c r="S198" i="119"/>
  <c r="C208" i="119"/>
  <c r="CA37" i="115"/>
  <c r="BX31" i="115"/>
  <c r="CA31" i="115" s="1"/>
  <c r="H89" i="119"/>
  <c r="K89" i="119"/>
  <c r="J77" i="73"/>
  <c r="J78" i="73" s="1"/>
  <c r="L33" i="115"/>
  <c r="E150" i="119"/>
  <c r="AF197" i="119"/>
  <c r="B33" i="114"/>
  <c r="D32" i="114"/>
  <c r="E32" i="114"/>
  <c r="C32" i="114"/>
  <c r="E134" i="119"/>
  <c r="L19" i="115"/>
  <c r="E90" i="41"/>
  <c r="H97" i="73"/>
  <c r="K134" i="72"/>
  <c r="G246" i="72"/>
  <c r="AF202" i="119"/>
  <c r="H48" i="115"/>
  <c r="F38" i="115"/>
  <c r="F41" i="115" s="1"/>
  <c r="H61" i="72"/>
  <c r="D46" i="115"/>
  <c r="H46" i="115" s="1"/>
  <c r="C123" i="119"/>
  <c r="H123" i="119" s="1"/>
  <c r="O188" i="119"/>
  <c r="BW35" i="115"/>
  <c r="BX35" i="115" s="1"/>
  <c r="K100" i="119"/>
  <c r="CA15" i="115"/>
  <c r="J223" i="72"/>
  <c r="K223" i="72" s="1"/>
  <c r="L223" i="72" s="1"/>
  <c r="M223" i="72" s="1"/>
  <c r="P223" i="72" s="1"/>
  <c r="Q223" i="72" s="1"/>
  <c r="R223" i="72" s="1"/>
  <c r="S223" i="72" s="1"/>
  <c r="T223" i="72" s="1"/>
  <c r="H264" i="72" s="1"/>
  <c r="I264" i="72" s="1"/>
  <c r="J264" i="72" s="1"/>
  <c r="K264" i="72" s="1"/>
  <c r="L264" i="72" s="1"/>
  <c r="M264" i="72" s="1"/>
  <c r="P264" i="72" s="1"/>
  <c r="Q264" i="72" s="1"/>
  <c r="R264" i="72" s="1"/>
  <c r="S264" i="72" s="1"/>
  <c r="T264" i="72" s="1"/>
  <c r="H305" i="72" s="1"/>
  <c r="I305" i="72" s="1"/>
  <c r="J305" i="72" s="1"/>
  <c r="K305" i="72" s="1"/>
  <c r="L305" i="72" s="1"/>
  <c r="M305" i="72" s="1"/>
  <c r="P305" i="72" s="1"/>
  <c r="Q305" i="72" s="1"/>
  <c r="R305" i="72" s="1"/>
  <c r="I222" i="72"/>
  <c r="H113" i="119"/>
  <c r="K113" i="119"/>
  <c r="P60" i="72"/>
  <c r="C169" i="119"/>
  <c r="H169" i="119" s="1"/>
  <c r="AF201" i="119"/>
  <c r="G285" i="72"/>
  <c r="Q195" i="119"/>
  <c r="P195" i="119"/>
  <c r="Z195" i="119" s="1"/>
  <c r="O195" i="119"/>
  <c r="Y195" i="119" s="1"/>
  <c r="N195" i="119"/>
  <c r="P192" i="119"/>
  <c r="Z192" i="119" s="1"/>
  <c r="N192" i="119"/>
  <c r="Q192" i="119"/>
  <c r="O192" i="119"/>
  <c r="Y192" i="119" s="1"/>
  <c r="F54" i="73"/>
  <c r="M60" i="73"/>
  <c r="D60" i="73"/>
  <c r="M97" i="73" s="1"/>
  <c r="F189" i="119"/>
  <c r="T83" i="72"/>
  <c r="BX43" i="115"/>
  <c r="CA43" i="115" s="1"/>
  <c r="C145" i="119"/>
  <c r="CA32" i="115"/>
  <c r="P132" i="72"/>
  <c r="Q132" i="72" s="1"/>
  <c r="AD195" i="119"/>
  <c r="W195" i="119"/>
  <c r="AC195" i="119"/>
  <c r="Q196" i="119"/>
  <c r="N196" i="119"/>
  <c r="O196" i="119"/>
  <c r="G107" i="72"/>
  <c r="T107" i="72" s="1"/>
  <c r="P39" i="72"/>
  <c r="C104" i="119" s="1"/>
  <c r="C97" i="119"/>
  <c r="H31" i="72"/>
  <c r="D28" i="115"/>
  <c r="H28" i="115" s="1"/>
  <c r="P198" i="119"/>
  <c r="N198" i="119"/>
  <c r="Q198" i="119"/>
  <c r="S195" i="119"/>
  <c r="X195" i="119" s="1"/>
  <c r="C117" i="119"/>
  <c r="H54" i="72"/>
  <c r="D10" i="115"/>
  <c r="K136" i="72"/>
  <c r="I13" i="74"/>
  <c r="M136" i="72"/>
  <c r="V6" i="79"/>
  <c r="G248" i="72"/>
  <c r="S192" i="119"/>
  <c r="X192" i="119" s="1"/>
  <c r="I127" i="72"/>
  <c r="G190" i="119"/>
  <c r="M190" i="119" s="1"/>
  <c r="L64" i="79"/>
  <c r="L209" i="79"/>
  <c r="L112" i="79"/>
  <c r="L286" i="79"/>
  <c r="L117" i="79"/>
  <c r="L224" i="79"/>
  <c r="L82" i="79"/>
  <c r="L245" i="79"/>
  <c r="L130" i="79"/>
  <c r="L322" i="79"/>
  <c r="L121" i="79"/>
  <c r="L228" i="79"/>
  <c r="L33" i="79"/>
  <c r="L313" i="79"/>
  <c r="L164" i="79"/>
  <c r="L333" i="79"/>
  <c r="L125" i="79"/>
  <c r="L22" i="79"/>
  <c r="L67" i="79"/>
  <c r="L255" i="79"/>
  <c r="L202" i="79"/>
  <c r="L264" i="79"/>
  <c r="L371" i="79"/>
  <c r="L72" i="79"/>
  <c r="L225" i="79"/>
  <c r="L120" i="79"/>
  <c r="L302" i="79"/>
  <c r="L329" i="79"/>
  <c r="L288" i="79"/>
  <c r="L39" i="79"/>
  <c r="L199" i="79"/>
  <c r="L170" i="79"/>
  <c r="L115" i="79"/>
  <c r="L353" i="79"/>
  <c r="L60" i="79"/>
  <c r="L201" i="79"/>
  <c r="L108" i="79"/>
  <c r="L278" i="79"/>
  <c r="L368" i="79"/>
  <c r="L191" i="79"/>
  <c r="L27" i="79"/>
  <c r="L301" i="79"/>
  <c r="L158" i="79"/>
  <c r="L181" i="79"/>
  <c r="L268" i="79"/>
  <c r="L80" i="79"/>
  <c r="L241" i="79"/>
  <c r="L128" i="79"/>
  <c r="L318" i="79"/>
  <c r="L113" i="79"/>
  <c r="L189" i="79"/>
  <c r="L98" i="79"/>
  <c r="L277" i="79"/>
  <c r="L146" i="79"/>
  <c r="L354" i="79"/>
  <c r="L185" i="79"/>
  <c r="L19" i="79"/>
  <c r="L49" i="79"/>
  <c r="L219" i="79"/>
  <c r="L180" i="79"/>
  <c r="L155" i="79"/>
  <c r="L335" i="79"/>
  <c r="L38" i="79"/>
  <c r="L83" i="79"/>
  <c r="L287" i="79"/>
  <c r="L234" i="79"/>
  <c r="L324" i="79"/>
  <c r="L103" i="79"/>
  <c r="L88" i="79"/>
  <c r="L257" i="79"/>
  <c r="L136" i="79"/>
  <c r="L334" i="79"/>
  <c r="L145" i="79"/>
  <c r="L361" i="79"/>
  <c r="L55" i="79"/>
  <c r="L231" i="79"/>
  <c r="L186" i="79"/>
  <c r="L179" i="79"/>
  <c r="L347" i="79"/>
  <c r="L76" i="79"/>
  <c r="L233" i="79"/>
  <c r="L124" i="79"/>
  <c r="L310" i="79"/>
  <c r="L369" i="79"/>
  <c r="L109" i="79"/>
  <c r="L43" i="79"/>
  <c r="L207" i="79"/>
  <c r="L174" i="79"/>
  <c r="L131" i="79"/>
  <c r="L323" i="79"/>
  <c r="L29" i="79"/>
  <c r="L305" i="79"/>
  <c r="L160" i="79"/>
  <c r="L244" i="79"/>
  <c r="L284" i="79"/>
  <c r="L47" i="79"/>
  <c r="L215" i="79"/>
  <c r="L178" i="79"/>
  <c r="L147" i="79"/>
  <c r="L331" i="79"/>
  <c r="L36" i="79"/>
  <c r="L81" i="79"/>
  <c r="L283" i="79"/>
  <c r="L230" i="79"/>
  <c r="L320" i="79"/>
  <c r="L373" i="79"/>
  <c r="L70" i="79"/>
  <c r="L221" i="79"/>
  <c r="L118" i="79"/>
  <c r="L298" i="79"/>
  <c r="L260" i="79"/>
  <c r="L272" i="79"/>
  <c r="L37" i="79"/>
  <c r="L195" i="79"/>
  <c r="L168" i="79"/>
  <c r="L107" i="79"/>
  <c r="L325" i="79"/>
  <c r="L42" i="79"/>
  <c r="L87" i="79"/>
  <c r="L295" i="79"/>
  <c r="L242" i="79"/>
  <c r="L332" i="79"/>
  <c r="L119" i="79"/>
  <c r="L25" i="79"/>
  <c r="L297" i="79"/>
  <c r="L156" i="79"/>
  <c r="L157" i="79"/>
  <c r="L252" i="79"/>
  <c r="L30" i="79"/>
  <c r="L75" i="79"/>
  <c r="L271" i="79"/>
  <c r="L218" i="79"/>
  <c r="L141" i="79"/>
  <c r="L341" i="79"/>
  <c r="I14" i="79"/>
  <c r="L45" i="79"/>
  <c r="L211" i="79"/>
  <c r="L176" i="79"/>
  <c r="L139" i="79"/>
  <c r="L327" i="79"/>
  <c r="L18" i="79"/>
  <c r="L63" i="79"/>
  <c r="L247" i="79"/>
  <c r="L194" i="79"/>
  <c r="L232" i="79"/>
  <c r="L363" i="79"/>
  <c r="L52" i="79"/>
  <c r="L97" i="79"/>
  <c r="L315" i="79"/>
  <c r="L262" i="79"/>
  <c r="L352" i="79"/>
  <c r="L159" i="79"/>
  <c r="L86" i="79"/>
  <c r="L253" i="79"/>
  <c r="L134" i="79"/>
  <c r="L330" i="79"/>
  <c r="L137" i="79"/>
  <c r="L337" i="79"/>
  <c r="L53" i="79"/>
  <c r="L227" i="79"/>
  <c r="L184" i="79"/>
  <c r="L171" i="79"/>
  <c r="L343" i="79"/>
  <c r="L58" i="79"/>
  <c r="L197" i="79"/>
  <c r="L106" i="79"/>
  <c r="L274" i="79"/>
  <c r="L364" i="79"/>
  <c r="L183" i="79"/>
  <c r="L41" i="79"/>
  <c r="L203" i="79"/>
  <c r="L172" i="79"/>
  <c r="L123" i="79"/>
  <c r="L319" i="79"/>
  <c r="L46" i="79"/>
  <c r="L91" i="79"/>
  <c r="L303" i="79"/>
  <c r="L250" i="79"/>
  <c r="L340" i="79"/>
  <c r="L135" i="79"/>
  <c r="L32" i="79"/>
  <c r="L77" i="79"/>
  <c r="L275" i="79"/>
  <c r="L222" i="79"/>
  <c r="L212" i="79"/>
  <c r="L357" i="79"/>
  <c r="L50" i="79"/>
  <c r="L95" i="79"/>
  <c r="L311" i="79"/>
  <c r="L258" i="79"/>
  <c r="L348" i="79"/>
  <c r="L151" i="79"/>
  <c r="L84" i="79"/>
  <c r="L249" i="79"/>
  <c r="L132" i="79"/>
  <c r="L326" i="79"/>
  <c r="L129" i="79"/>
  <c r="L308" i="79"/>
  <c r="L35" i="79"/>
  <c r="L316" i="79"/>
  <c r="L166" i="79"/>
  <c r="L349" i="79"/>
  <c r="L292" i="79"/>
  <c r="L40" i="79"/>
  <c r="L85" i="79"/>
  <c r="L291" i="79"/>
  <c r="L238" i="79"/>
  <c r="L328" i="79"/>
  <c r="L111" i="79"/>
  <c r="L90" i="79"/>
  <c r="L261" i="79"/>
  <c r="L138" i="79"/>
  <c r="L338" i="79"/>
  <c r="L153" i="79"/>
  <c r="L28" i="79"/>
  <c r="L73" i="79"/>
  <c r="L267" i="79"/>
  <c r="L214" i="79"/>
  <c r="L312" i="79"/>
  <c r="L317" i="79"/>
  <c r="L78" i="79"/>
  <c r="L237" i="79"/>
  <c r="L126" i="79"/>
  <c r="L314" i="79"/>
  <c r="L105" i="79"/>
  <c r="L173" i="79"/>
  <c r="L307" i="79"/>
  <c r="L359" i="79"/>
  <c r="L309" i="79"/>
  <c r="L149" i="79"/>
  <c r="L217" i="79"/>
  <c r="L248" i="79"/>
  <c r="L51" i="79"/>
  <c r="L362" i="79"/>
  <c r="L21" i="79"/>
  <c r="L270" i="79"/>
  <c r="L74" i="79"/>
  <c r="L210" i="79"/>
  <c r="L44" i="79"/>
  <c r="L188" i="79"/>
  <c r="L16" i="79"/>
  <c r="L142" i="79"/>
  <c r="L208" i="79"/>
  <c r="K14" i="79"/>
  <c r="L144" i="79"/>
  <c r="L143" i="79"/>
  <c r="L279" i="79"/>
  <c r="L300" i="79"/>
  <c r="L281" i="79"/>
  <c r="L165" i="79"/>
  <c r="L99" i="79"/>
  <c r="L163" i="79"/>
  <c r="L69" i="79"/>
  <c r="L366" i="79"/>
  <c r="L23" i="79"/>
  <c r="L306" i="79"/>
  <c r="L92" i="79"/>
  <c r="L246" i="79"/>
  <c r="L62" i="79"/>
  <c r="L190" i="79"/>
  <c r="L48" i="79"/>
  <c r="L192" i="79"/>
  <c r="L14" i="79"/>
  <c r="I15" i="79" s="1"/>
  <c r="L114" i="79"/>
  <c r="L365" i="79"/>
  <c r="L251" i="79"/>
  <c r="L193" i="79"/>
  <c r="L285" i="79"/>
  <c r="L356" i="79"/>
  <c r="L101" i="79"/>
  <c r="L280" i="79"/>
  <c r="L71" i="79"/>
  <c r="L370" i="79"/>
  <c r="L57" i="79"/>
  <c r="L342" i="79"/>
  <c r="L94" i="79"/>
  <c r="L282" i="79"/>
  <c r="L96" i="79"/>
  <c r="L254" i="79"/>
  <c r="L34" i="79"/>
  <c r="L162" i="79"/>
  <c r="L240" i="79"/>
  <c r="L116" i="79"/>
  <c r="L367" i="79"/>
  <c r="L223" i="79"/>
  <c r="L204" i="79"/>
  <c r="L289" i="79"/>
  <c r="L360" i="79"/>
  <c r="L229" i="79"/>
  <c r="L296" i="79"/>
  <c r="L89" i="79"/>
  <c r="L187" i="79"/>
  <c r="L59" i="79"/>
  <c r="L346" i="79"/>
  <c r="L61" i="79"/>
  <c r="L350" i="79"/>
  <c r="L66" i="79"/>
  <c r="L226" i="79"/>
  <c r="L20" i="79"/>
  <c r="L148" i="79"/>
  <c r="L256" i="79"/>
  <c r="L102" i="79"/>
  <c r="L339" i="79"/>
  <c r="L259" i="79"/>
  <c r="L220" i="79"/>
  <c r="L293" i="79"/>
  <c r="L345" i="79"/>
  <c r="L265" i="79"/>
  <c r="L336" i="79"/>
  <c r="L205" i="79"/>
  <c r="L200" i="79"/>
  <c r="L273" i="79"/>
  <c r="L344" i="79"/>
  <c r="L79" i="79"/>
  <c r="L276" i="79"/>
  <c r="L100" i="79"/>
  <c r="L294" i="79"/>
  <c r="L54" i="79"/>
  <c r="L182" i="79"/>
  <c r="L24" i="79"/>
  <c r="L152" i="79"/>
  <c r="L175" i="79"/>
  <c r="L122" i="79"/>
  <c r="L196" i="79"/>
  <c r="L299" i="79"/>
  <c r="L351" i="79"/>
  <c r="L239" i="79"/>
  <c r="L169" i="79"/>
  <c r="L213" i="79"/>
  <c r="L15" i="79"/>
  <c r="L26" i="79"/>
  <c r="L127" i="79"/>
  <c r="L290" i="79"/>
  <c r="L150" i="79"/>
  <c r="L263" i="79"/>
  <c r="L269" i="79"/>
  <c r="L321" i="79"/>
  <c r="L266" i="79"/>
  <c r="L154" i="79"/>
  <c r="L110" i="79"/>
  <c r="L93" i="79"/>
  <c r="L68" i="79"/>
  <c r="L167" i="79"/>
  <c r="L236" i="79"/>
  <c r="L372" i="79"/>
  <c r="L243" i="79"/>
  <c r="L65" i="79"/>
  <c r="L56" i="79"/>
  <c r="L304" i="79"/>
  <c r="L355" i="79"/>
  <c r="L177" i="79"/>
  <c r="L358" i="79"/>
  <c r="L206" i="79"/>
  <c r="L140" i="79"/>
  <c r="L31" i="79"/>
  <c r="L198" i="79"/>
  <c r="L17" i="79"/>
  <c r="L104" i="79"/>
  <c r="L133" i="79"/>
  <c r="L235" i="79"/>
  <c r="L161" i="79"/>
  <c r="L216" i="79"/>
  <c r="G326" i="72"/>
  <c r="AF199" i="119"/>
  <c r="J70" i="73"/>
  <c r="J71" i="73" s="1"/>
  <c r="E144" i="119"/>
  <c r="L28" i="115"/>
  <c r="S125" i="41"/>
  <c r="S8" i="89" s="1"/>
  <c r="S24" i="89" s="1"/>
  <c r="S30" i="89" s="1"/>
  <c r="S35" i="89" s="1"/>
  <c r="AD192" i="119"/>
  <c r="AC192" i="119"/>
  <c r="W192" i="119"/>
  <c r="S184" i="119"/>
  <c r="AF184" i="119"/>
  <c r="M184" i="119"/>
  <c r="V184" i="119" s="1"/>
  <c r="AE184" i="119" s="1"/>
  <c r="I117" i="72" l="1"/>
  <c r="AB19" i="72"/>
  <c r="Z20" i="72"/>
  <c r="AA20" i="72"/>
  <c r="Y28" i="72"/>
  <c r="N203" i="119"/>
  <c r="Q203" i="119"/>
  <c r="O203" i="119"/>
  <c r="J134" i="119"/>
  <c r="K135" i="119"/>
  <c r="J150" i="119"/>
  <c r="K150" i="119"/>
  <c r="J144" i="119"/>
  <c r="K144" i="119"/>
  <c r="I49" i="97"/>
  <c r="F51" i="97" s="1"/>
  <c r="S203" i="119"/>
  <c r="P203" i="119"/>
  <c r="P137" i="72"/>
  <c r="Q137" i="72" s="1"/>
  <c r="F340" i="79"/>
  <c r="F286" i="79"/>
  <c r="F381" i="79"/>
  <c r="F304" i="79"/>
  <c r="F195" i="79"/>
  <c r="F197" i="79"/>
  <c r="F322" i="79"/>
  <c r="F122" i="79"/>
  <c r="F347" i="79"/>
  <c r="F341" i="79"/>
  <c r="F77" i="79"/>
  <c r="F422" i="79"/>
  <c r="F307" i="79"/>
  <c r="F52" i="79"/>
  <c r="F343" i="79"/>
  <c r="F227" i="79"/>
  <c r="F58" i="79"/>
  <c r="F490" i="79"/>
  <c r="F289" i="79"/>
  <c r="F446" i="79"/>
  <c r="F439" i="79"/>
  <c r="F408" i="79"/>
  <c r="F420" i="79"/>
  <c r="F262" i="79"/>
  <c r="F309" i="79"/>
  <c r="F114" i="79"/>
  <c r="F138" i="79"/>
  <c r="F66" i="79"/>
  <c r="F433" i="79"/>
  <c r="F316" i="79"/>
  <c r="F400" i="79"/>
  <c r="F388" i="79"/>
  <c r="F246" i="79"/>
  <c r="F305" i="79"/>
  <c r="F209" i="79"/>
  <c r="F130" i="79"/>
  <c r="F62" i="79"/>
  <c r="F466" i="79"/>
  <c r="F390" i="79"/>
  <c r="F274" i="79"/>
  <c r="F302" i="79"/>
  <c r="F303" i="79"/>
  <c r="F285" i="79"/>
  <c r="F153" i="79"/>
  <c r="F85" i="79"/>
  <c r="F46" i="79"/>
  <c r="F444" i="79"/>
  <c r="F441" i="79"/>
  <c r="F360" i="79"/>
  <c r="F421" i="79"/>
  <c r="F361" i="79"/>
  <c r="F259" i="79"/>
  <c r="F199" i="79"/>
  <c r="F110" i="79"/>
  <c r="F103" i="79"/>
  <c r="F48" i="79"/>
  <c r="F419" i="79"/>
  <c r="F359" i="79"/>
  <c r="F344" i="79"/>
  <c r="F389" i="79"/>
  <c r="F345" i="79"/>
  <c r="F243" i="79"/>
  <c r="F154" i="79"/>
  <c r="F201" i="79"/>
  <c r="F100" i="79"/>
  <c r="F24" i="79"/>
  <c r="F488" i="79"/>
  <c r="F491" i="79"/>
  <c r="F336" i="79"/>
  <c r="F370" i="79"/>
  <c r="F410" i="79"/>
  <c r="F206" i="79"/>
  <c r="F300" i="79"/>
  <c r="F193" i="79"/>
  <c r="F164" i="79"/>
  <c r="E14" i="79"/>
  <c r="F23" i="79"/>
  <c r="F30" i="79"/>
  <c r="F51" i="79"/>
  <c r="F57" i="79"/>
  <c r="F39" i="79"/>
  <c r="F76" i="79"/>
  <c r="F61" i="79"/>
  <c r="F70" i="79"/>
  <c r="F102" i="79"/>
  <c r="F116" i="79"/>
  <c r="F148" i="79"/>
  <c r="F109" i="79"/>
  <c r="F141" i="79"/>
  <c r="F101" i="79"/>
  <c r="F139" i="79"/>
  <c r="F159" i="79"/>
  <c r="F196" i="79"/>
  <c r="F93" i="79"/>
  <c r="F177" i="79"/>
  <c r="F158" i="79"/>
  <c r="F170" i="79"/>
  <c r="F202" i="79"/>
  <c r="F183" i="79"/>
  <c r="F145" i="79"/>
  <c r="F244" i="79"/>
  <c r="F276" i="79"/>
  <c r="F308" i="79"/>
  <c r="F229" i="79"/>
  <c r="F261" i="79"/>
  <c r="F293" i="79"/>
  <c r="F325" i="79"/>
  <c r="F219" i="79"/>
  <c r="F247" i="79"/>
  <c r="F279" i="79"/>
  <c r="F311" i="79"/>
  <c r="F331" i="79"/>
  <c r="F418" i="79"/>
  <c r="F349" i="79"/>
  <c r="F395" i="79"/>
  <c r="F323" i="79"/>
  <c r="F428" i="79"/>
  <c r="F350" i="79"/>
  <c r="F397" i="79"/>
  <c r="F461" i="79"/>
  <c r="F314" i="79"/>
  <c r="F416" i="79"/>
  <c r="F480" i="79"/>
  <c r="F348" i="79"/>
  <c r="F393" i="79"/>
  <c r="F431" i="79"/>
  <c r="F452" i="79"/>
  <c r="F436" i="79"/>
  <c r="F378" i="79"/>
  <c r="F467" i="79"/>
  <c r="F427" i="79"/>
  <c r="F485" i="79"/>
  <c r="F457" i="79"/>
  <c r="F459" i="79"/>
  <c r="F463" i="79"/>
  <c r="F483" i="79"/>
  <c r="F17" i="79"/>
  <c r="F15" i="79"/>
  <c r="F32" i="79"/>
  <c r="F35" i="79"/>
  <c r="F59" i="79"/>
  <c r="F36" i="79"/>
  <c r="F80" i="79"/>
  <c r="F65" i="79"/>
  <c r="F74" i="79"/>
  <c r="F106" i="79"/>
  <c r="F120" i="79"/>
  <c r="F152" i="79"/>
  <c r="F113" i="79"/>
  <c r="F69" i="79"/>
  <c r="F111" i="79"/>
  <c r="F143" i="79"/>
  <c r="F168" i="79"/>
  <c r="F200" i="79"/>
  <c r="F146" i="79"/>
  <c r="F181" i="79"/>
  <c r="F161" i="79"/>
  <c r="F174" i="79"/>
  <c r="F95" i="79"/>
  <c r="F187" i="79"/>
  <c r="F215" i="79"/>
  <c r="F248" i="79"/>
  <c r="F280" i="79"/>
  <c r="F205" i="79"/>
  <c r="F233" i="79"/>
  <c r="F265" i="79"/>
  <c r="F297" i="79"/>
  <c r="F329" i="79"/>
  <c r="F222" i="79"/>
  <c r="F251" i="79"/>
  <c r="F283" i="79"/>
  <c r="F315" i="79"/>
  <c r="F332" i="79"/>
  <c r="F426" i="79"/>
  <c r="F353" i="79"/>
  <c r="F403" i="79"/>
  <c r="F324" i="79"/>
  <c r="F217" i="79"/>
  <c r="F354" i="79"/>
  <c r="F405" i="79"/>
  <c r="F469" i="79"/>
  <c r="F338" i="79"/>
  <c r="F424" i="79"/>
  <c r="F298" i="79"/>
  <c r="F352" i="79"/>
  <c r="F401" i="79"/>
  <c r="F443" i="79"/>
  <c r="F458" i="79"/>
  <c r="F442" i="79"/>
  <c r="F398" i="79"/>
  <c r="F473" i="79"/>
  <c r="F434" i="79"/>
  <c r="F351" i="79"/>
  <c r="F470" i="79"/>
  <c r="F465" i="79"/>
  <c r="F476" i="79"/>
  <c r="F486" i="79"/>
  <c r="F19" i="79"/>
  <c r="F21" i="79"/>
  <c r="F44" i="79"/>
  <c r="F29" i="79"/>
  <c r="F63" i="79"/>
  <c r="F55" i="79"/>
  <c r="F84" i="79"/>
  <c r="F45" i="79"/>
  <c r="F78" i="79"/>
  <c r="F54" i="79"/>
  <c r="F124" i="79"/>
  <c r="F156" i="79"/>
  <c r="F117" i="79"/>
  <c r="F91" i="79"/>
  <c r="F115" i="79"/>
  <c r="F147" i="79"/>
  <c r="F172" i="79"/>
  <c r="F204" i="79"/>
  <c r="F162" i="79"/>
  <c r="F185" i="79"/>
  <c r="F87" i="79"/>
  <c r="F178" i="79"/>
  <c r="F150" i="79"/>
  <c r="F191" i="79"/>
  <c r="F218" i="79"/>
  <c r="F252" i="79"/>
  <c r="F284" i="79"/>
  <c r="F221" i="79"/>
  <c r="F237" i="79"/>
  <c r="F269" i="79"/>
  <c r="F301" i="79"/>
  <c r="F333" i="79"/>
  <c r="F223" i="79"/>
  <c r="F255" i="79"/>
  <c r="F287" i="79"/>
  <c r="F230" i="79"/>
  <c r="F374" i="79"/>
  <c r="F290" i="79"/>
  <c r="F357" i="79"/>
  <c r="F207" i="79"/>
  <c r="F380" i="79"/>
  <c r="F282" i="79"/>
  <c r="F358" i="79"/>
  <c r="F413" i="79"/>
  <c r="F157" i="79"/>
  <c r="F339" i="79"/>
  <c r="F432" i="79"/>
  <c r="F312" i="79"/>
  <c r="F356" i="79"/>
  <c r="F409" i="79"/>
  <c r="F449" i="79"/>
  <c r="F482" i="79"/>
  <c r="F455" i="79"/>
  <c r="F414" i="79"/>
  <c r="F492" i="79"/>
  <c r="F447" i="79"/>
  <c r="F367" i="79"/>
  <c r="F477" i="79"/>
  <c r="F254" i="79"/>
  <c r="F489" i="79"/>
  <c r="F18" i="79"/>
  <c r="F26" i="79"/>
  <c r="F38" i="79"/>
  <c r="F33" i="79"/>
  <c r="F67" i="79"/>
  <c r="F56" i="79"/>
  <c r="F88" i="79"/>
  <c r="F41" i="79"/>
  <c r="F82" i="79"/>
  <c r="F89" i="79"/>
  <c r="F128" i="79"/>
  <c r="F160" i="79"/>
  <c r="F121" i="79"/>
  <c r="F96" i="79"/>
  <c r="F119" i="79"/>
  <c r="F151" i="79"/>
  <c r="F176" i="79"/>
  <c r="F208" i="79"/>
  <c r="F149" i="79"/>
  <c r="F189" i="79"/>
  <c r="F104" i="79"/>
  <c r="F182" i="79"/>
  <c r="F163" i="79"/>
  <c r="F105" i="79"/>
  <c r="F224" i="79"/>
  <c r="F20" i="79"/>
  <c r="F40" i="79"/>
  <c r="F71" i="79"/>
  <c r="F92" i="79"/>
  <c r="F86" i="79"/>
  <c r="F132" i="79"/>
  <c r="F125" i="79"/>
  <c r="F123" i="79"/>
  <c r="F180" i="79"/>
  <c r="F155" i="79"/>
  <c r="F126" i="79"/>
  <c r="F167" i="79"/>
  <c r="F228" i="79"/>
  <c r="F272" i="79"/>
  <c r="F211" i="79"/>
  <c r="F273" i="79"/>
  <c r="F317" i="79"/>
  <c r="F231" i="79"/>
  <c r="F275" i="79"/>
  <c r="F278" i="79"/>
  <c r="F326" i="79"/>
  <c r="F373" i="79"/>
  <c r="F396" i="79"/>
  <c r="F346" i="79"/>
  <c r="F437" i="79"/>
  <c r="F376" i="79"/>
  <c r="F464" i="79"/>
  <c r="F364" i="79"/>
  <c r="F411" i="79"/>
  <c r="F270" i="79"/>
  <c r="F425" i="79"/>
  <c r="F375" i="79"/>
  <c r="F415" i="79"/>
  <c r="F406" i="79"/>
  <c r="F399" i="79"/>
  <c r="F16" i="79"/>
  <c r="F31" i="79"/>
  <c r="F75" i="79"/>
  <c r="F42" i="79"/>
  <c r="F90" i="79"/>
  <c r="F136" i="79"/>
  <c r="F129" i="79"/>
  <c r="F127" i="79"/>
  <c r="F184" i="79"/>
  <c r="F165" i="79"/>
  <c r="F134" i="79"/>
  <c r="F171" i="79"/>
  <c r="F232" i="79"/>
  <c r="F288" i="79"/>
  <c r="F214" i="79"/>
  <c r="F277" i="79"/>
  <c r="F321" i="79"/>
  <c r="F235" i="79"/>
  <c r="F291" i="79"/>
  <c r="F310" i="79"/>
  <c r="F327" i="79"/>
  <c r="F387" i="79"/>
  <c r="F404" i="79"/>
  <c r="F362" i="79"/>
  <c r="F445" i="79"/>
  <c r="F384" i="79"/>
  <c r="F472" i="79"/>
  <c r="F368" i="79"/>
  <c r="F462" i="79"/>
  <c r="F383" i="79"/>
  <c r="F430" i="79"/>
  <c r="F391" i="79"/>
  <c r="F417" i="79"/>
  <c r="F379" i="79"/>
  <c r="F471" i="79"/>
  <c r="C14" i="79"/>
  <c r="F43" i="79"/>
  <c r="F79" i="79"/>
  <c r="F47" i="79"/>
  <c r="F94" i="79"/>
  <c r="F140" i="79"/>
  <c r="F133" i="79"/>
  <c r="F131" i="79"/>
  <c r="F188" i="79"/>
  <c r="F169" i="79"/>
  <c r="F142" i="79"/>
  <c r="F175" i="79"/>
  <c r="F236" i="79"/>
  <c r="F292" i="79"/>
  <c r="F225" i="79"/>
  <c r="F281" i="79"/>
  <c r="F337" i="79"/>
  <c r="F239" i="79"/>
  <c r="F295" i="79"/>
  <c r="F330" i="79"/>
  <c r="F328" i="79"/>
  <c r="F234" i="79"/>
  <c r="F412" i="79"/>
  <c r="F366" i="79"/>
  <c r="F453" i="79"/>
  <c r="F392" i="79"/>
  <c r="F334" i="79"/>
  <c r="F372" i="79"/>
  <c r="F475" i="79"/>
  <c r="F423" i="79"/>
  <c r="F435" i="79"/>
  <c r="F460" i="79"/>
  <c r="F438" i="79"/>
  <c r="F407" i="79"/>
  <c r="F481" i="79"/>
  <c r="F14" i="79"/>
  <c r="C15" i="79" s="1"/>
  <c r="F49" i="79"/>
  <c r="F83" i="79"/>
  <c r="F50" i="79"/>
  <c r="F98" i="79"/>
  <c r="F144" i="79"/>
  <c r="F137" i="79"/>
  <c r="F135" i="79"/>
  <c r="F192" i="79"/>
  <c r="F173" i="79"/>
  <c r="F166" i="79"/>
  <c r="F179" i="79"/>
  <c r="F240" i="79"/>
  <c r="F296" i="79"/>
  <c r="F241" i="79"/>
  <c r="F479" i="79"/>
  <c r="F294" i="79"/>
  <c r="F474" i="79"/>
  <c r="F371" i="79"/>
  <c r="F335" i="79"/>
  <c r="F258" i="79"/>
  <c r="F342" i="79"/>
  <c r="F266" i="79"/>
  <c r="F402" i="79"/>
  <c r="F299" i="79"/>
  <c r="F213" i="79"/>
  <c r="F257" i="79"/>
  <c r="F268" i="79"/>
  <c r="F198" i="79"/>
  <c r="F81" i="79"/>
  <c r="F73" i="79"/>
  <c r="F112" i="79"/>
  <c r="F72" i="79"/>
  <c r="F25" i="79"/>
  <c r="F238" i="79"/>
  <c r="F478" i="79"/>
  <c r="F487" i="79"/>
  <c r="F468" i="79"/>
  <c r="F355" i="79"/>
  <c r="F456" i="79"/>
  <c r="F242" i="79"/>
  <c r="F320" i="79"/>
  <c r="F250" i="79"/>
  <c r="F394" i="79"/>
  <c r="F271" i="79"/>
  <c r="F203" i="79"/>
  <c r="F253" i="79"/>
  <c r="F264" i="79"/>
  <c r="F194" i="79"/>
  <c r="F220" i="79"/>
  <c r="F53" i="79"/>
  <c r="F108" i="79"/>
  <c r="F68" i="79"/>
  <c r="F22" i="79"/>
  <c r="F363" i="79"/>
  <c r="F451" i="79"/>
  <c r="F493" i="79"/>
  <c r="F210" i="79"/>
  <c r="F306" i="79"/>
  <c r="F448" i="79"/>
  <c r="F226" i="79"/>
  <c r="F319" i="79"/>
  <c r="F369" i="79"/>
  <c r="F386" i="79"/>
  <c r="F267" i="79"/>
  <c r="F118" i="79"/>
  <c r="F249" i="79"/>
  <c r="F260" i="79"/>
  <c r="F190" i="79"/>
  <c r="F216" i="79"/>
  <c r="F34" i="79"/>
  <c r="F107" i="79"/>
  <c r="F64" i="79"/>
  <c r="F28" i="79"/>
  <c r="F450" i="79"/>
  <c r="F382" i="79"/>
  <c r="F454" i="79"/>
  <c r="F484" i="79"/>
  <c r="F385" i="79"/>
  <c r="F440" i="79"/>
  <c r="F429" i="79"/>
  <c r="F318" i="79"/>
  <c r="F365" i="79"/>
  <c r="F377" i="79"/>
  <c r="F263" i="79"/>
  <c r="F313" i="79"/>
  <c r="F245" i="79"/>
  <c r="F256" i="79"/>
  <c r="F186" i="79"/>
  <c r="F212" i="79"/>
  <c r="F99" i="79"/>
  <c r="F97" i="79"/>
  <c r="F60" i="79"/>
  <c r="F27" i="79"/>
  <c r="J154" i="72"/>
  <c r="M154" i="72" s="1"/>
  <c r="P19" i="115"/>
  <c r="P33" i="115"/>
  <c r="V33" i="115" s="1"/>
  <c r="R40" i="115"/>
  <c r="X40" i="115" s="1"/>
  <c r="P28" i="115"/>
  <c r="V28" i="115" s="1"/>
  <c r="AD200" i="119"/>
  <c r="P133" i="72"/>
  <c r="Q133" i="72" s="1"/>
  <c r="J153" i="72"/>
  <c r="M153" i="72" s="1"/>
  <c r="O154" i="72"/>
  <c r="I155" i="72"/>
  <c r="D155" i="72"/>
  <c r="AE155" i="72" s="1"/>
  <c r="N155" i="72"/>
  <c r="L155" i="72"/>
  <c r="K155" i="72"/>
  <c r="F155" i="72"/>
  <c r="H155" i="72"/>
  <c r="A156" i="72"/>
  <c r="E156" i="72" s="1"/>
  <c r="M280" i="72"/>
  <c r="P280" i="72" s="1"/>
  <c r="Q280" i="72" s="1"/>
  <c r="R280" i="72" s="1"/>
  <c r="S280" i="72" s="1"/>
  <c r="T280" i="72" s="1"/>
  <c r="G321" i="72" s="1"/>
  <c r="H321" i="72" s="1"/>
  <c r="I321" i="72" s="1"/>
  <c r="J321" i="72" s="1"/>
  <c r="K321" i="72" s="1"/>
  <c r="L321" i="72" s="1"/>
  <c r="M321" i="72" s="1"/>
  <c r="P321" i="72" s="1"/>
  <c r="Q321" i="72" s="1"/>
  <c r="R321" i="72" s="1"/>
  <c r="G322" i="72"/>
  <c r="L105" i="72"/>
  <c r="V9" i="72"/>
  <c r="H248" i="72"/>
  <c r="I248" i="72" s="1"/>
  <c r="J248" i="72" s="1"/>
  <c r="K248" i="72" s="1"/>
  <c r="L248" i="72" s="1"/>
  <c r="M248" i="72" s="1"/>
  <c r="P248" i="72" s="1"/>
  <c r="Q248" i="72" s="1"/>
  <c r="R248" i="72" s="1"/>
  <c r="S248" i="72" s="1"/>
  <c r="T248" i="72" s="1"/>
  <c r="G289" i="72" s="1"/>
  <c r="H289" i="72" s="1"/>
  <c r="I289" i="72" s="1"/>
  <c r="J289" i="72" s="1"/>
  <c r="K289" i="72" s="1"/>
  <c r="L289" i="72" s="1"/>
  <c r="M289" i="72" s="1"/>
  <c r="P289" i="72" s="1"/>
  <c r="Q289" i="72" s="1"/>
  <c r="R289" i="72" s="1"/>
  <c r="S289" i="72" s="1"/>
  <c r="T289" i="72" s="1"/>
  <c r="G330" i="72" s="1"/>
  <c r="H330" i="72" s="1"/>
  <c r="I330" i="72" s="1"/>
  <c r="J330" i="72" s="1"/>
  <c r="K330" i="72" s="1"/>
  <c r="L330" i="72" s="1"/>
  <c r="M330" i="72" s="1"/>
  <c r="P330" i="72" s="1"/>
  <c r="Q330" i="72" s="1"/>
  <c r="R330" i="72" s="1"/>
  <c r="H246" i="72"/>
  <c r="I246" i="72" s="1"/>
  <c r="J246" i="72" s="1"/>
  <c r="K246" i="72" s="1"/>
  <c r="L246" i="72" s="1"/>
  <c r="M246" i="72" s="1"/>
  <c r="P246" i="72" s="1"/>
  <c r="Q246" i="72" s="1"/>
  <c r="R246" i="72" s="1"/>
  <c r="S246" i="72" s="1"/>
  <c r="T246" i="72" s="1"/>
  <c r="G287" i="72" s="1"/>
  <c r="H287" i="72" s="1"/>
  <c r="I287" i="72" s="1"/>
  <c r="J287" i="72" s="1"/>
  <c r="K287" i="72" s="1"/>
  <c r="L287" i="72" s="1"/>
  <c r="M287" i="72" s="1"/>
  <c r="P287" i="72" s="1"/>
  <c r="Q287" i="72" s="1"/>
  <c r="R287" i="72" s="1"/>
  <c r="S287" i="72" s="1"/>
  <c r="T287" i="72" s="1"/>
  <c r="G328" i="72" s="1"/>
  <c r="H328" i="72" s="1"/>
  <c r="I328" i="72" s="1"/>
  <c r="J328" i="72" s="1"/>
  <c r="K328" i="72" s="1"/>
  <c r="L328" i="72" s="1"/>
  <c r="M328" i="72" s="1"/>
  <c r="P328" i="72" s="1"/>
  <c r="Q328" i="72" s="1"/>
  <c r="R328" i="72" s="1"/>
  <c r="I247" i="72"/>
  <c r="J247" i="72"/>
  <c r="K247" i="72" s="1"/>
  <c r="L247" i="72" s="1"/>
  <c r="M247" i="72" s="1"/>
  <c r="P247" i="72" s="1"/>
  <c r="Q247" i="72" s="1"/>
  <c r="R247" i="72" s="1"/>
  <c r="S247" i="72" s="1"/>
  <c r="T247" i="72" s="1"/>
  <c r="G288" i="72" s="1"/>
  <c r="H288" i="72" s="1"/>
  <c r="I288" i="72" s="1"/>
  <c r="J288" i="72" s="1"/>
  <c r="K288" i="72" s="1"/>
  <c r="L288" i="72" s="1"/>
  <c r="M288" i="72" s="1"/>
  <c r="P288" i="72" s="1"/>
  <c r="Q288" i="72" s="1"/>
  <c r="R288" i="72" s="1"/>
  <c r="S288" i="72" s="1"/>
  <c r="T288" i="72" s="1"/>
  <c r="G329" i="72" s="1"/>
  <c r="H329" i="72" s="1"/>
  <c r="I329" i="72" s="1"/>
  <c r="J329" i="72" s="1"/>
  <c r="K329" i="72" s="1"/>
  <c r="L329" i="72" s="1"/>
  <c r="M329" i="72" s="1"/>
  <c r="P329" i="72" s="1"/>
  <c r="Q329" i="72" s="1"/>
  <c r="R329" i="72" s="1"/>
  <c r="H245" i="72"/>
  <c r="I245" i="72" s="1"/>
  <c r="J245" i="72" s="1"/>
  <c r="K245" i="72" s="1"/>
  <c r="L245" i="72" s="1"/>
  <c r="M245" i="72" s="1"/>
  <c r="P245" i="72" s="1"/>
  <c r="Q245" i="72" s="1"/>
  <c r="R245" i="72" s="1"/>
  <c r="S245" i="72" s="1"/>
  <c r="T245" i="72" s="1"/>
  <c r="G286" i="72" s="1"/>
  <c r="H286" i="72" s="1"/>
  <c r="I286" i="72" s="1"/>
  <c r="J286" i="72" s="1"/>
  <c r="K286" i="72" s="1"/>
  <c r="L286" i="72" s="1"/>
  <c r="M286" i="72" s="1"/>
  <c r="P286" i="72" s="1"/>
  <c r="Q286" i="72" s="1"/>
  <c r="R286" i="72" s="1"/>
  <c r="S286" i="72" s="1"/>
  <c r="T286" i="72" s="1"/>
  <c r="G327" i="72" s="1"/>
  <c r="I327" i="72" s="1"/>
  <c r="J327" i="72" s="1"/>
  <c r="K327" i="72" s="1"/>
  <c r="L327" i="72" s="1"/>
  <c r="M327" i="72" s="1"/>
  <c r="P327" i="72" s="1"/>
  <c r="Q327" i="72" s="1"/>
  <c r="R327" i="72" s="1"/>
  <c r="AC196" i="119"/>
  <c r="W196" i="119"/>
  <c r="AD196" i="119"/>
  <c r="G237" i="72"/>
  <c r="H237" i="72" s="1"/>
  <c r="I237" i="72" s="1"/>
  <c r="S40" i="89"/>
  <c r="S42" i="89" s="1"/>
  <c r="S48" i="89" s="1"/>
  <c r="X200" i="119"/>
  <c r="P135" i="72"/>
  <c r="Q135" i="72" s="1"/>
  <c r="R245" i="79"/>
  <c r="W193" i="119"/>
  <c r="Z200" i="119"/>
  <c r="Y193" i="119"/>
  <c r="H34" i="97"/>
  <c r="H35" i="97" s="1"/>
  <c r="I35" i="97" s="1"/>
  <c r="W200" i="119"/>
  <c r="AC200" i="119"/>
  <c r="Y200" i="119"/>
  <c r="Z193" i="119"/>
  <c r="R166" i="79"/>
  <c r="X193" i="119"/>
  <c r="AD193" i="119"/>
  <c r="AC193" i="119"/>
  <c r="R51" i="79"/>
  <c r="R39" i="79"/>
  <c r="R156" i="79"/>
  <c r="R270" i="79"/>
  <c r="R267" i="79"/>
  <c r="R318" i="79"/>
  <c r="R138" i="79"/>
  <c r="R321" i="79"/>
  <c r="R247" i="79"/>
  <c r="R104" i="79"/>
  <c r="R212" i="79"/>
  <c r="R222" i="79"/>
  <c r="R128" i="79"/>
  <c r="R228" i="79"/>
  <c r="R218" i="79"/>
  <c r="R203" i="79"/>
  <c r="R285" i="79"/>
  <c r="R152" i="79"/>
  <c r="R315" i="79"/>
  <c r="R364" i="79"/>
  <c r="R113" i="79"/>
  <c r="R124" i="79"/>
  <c r="R195" i="79"/>
  <c r="K105" i="72"/>
  <c r="R292" i="79"/>
  <c r="R97" i="79"/>
  <c r="R229" i="79"/>
  <c r="R53" i="79"/>
  <c r="R20" i="79"/>
  <c r="R335" i="79"/>
  <c r="R219" i="79"/>
  <c r="R143" i="79"/>
  <c r="R127" i="79"/>
  <c r="R192" i="79"/>
  <c r="R225" i="79"/>
  <c r="R132" i="79"/>
  <c r="R21" i="79"/>
  <c r="R320" i="79"/>
  <c r="R266" i="79"/>
  <c r="R369" i="79"/>
  <c r="R294" i="79"/>
  <c r="R370" i="79"/>
  <c r="R279" i="79"/>
  <c r="R200" i="79"/>
  <c r="R84" i="79"/>
  <c r="R118" i="79"/>
  <c r="R180" i="79"/>
  <c r="R286" i="79"/>
  <c r="R232" i="79"/>
  <c r="R141" i="79"/>
  <c r="R274" i="79"/>
  <c r="R110" i="79"/>
  <c r="R277" i="79"/>
  <c r="R154" i="79"/>
  <c r="R105" i="79"/>
  <c r="R92" i="79"/>
  <c r="R254" i="79"/>
  <c r="R59" i="79"/>
  <c r="R145" i="79"/>
  <c r="R17" i="79"/>
  <c r="R19" i="79"/>
  <c r="R234" i="79"/>
  <c r="R30" i="79"/>
  <c r="R90" i="79"/>
  <c r="R46" i="79"/>
  <c r="R76" i="79"/>
  <c r="R64" i="79"/>
  <c r="R334" i="79"/>
  <c r="R280" i="79"/>
  <c r="R36" i="79"/>
  <c r="R311" i="79"/>
  <c r="R347" i="79"/>
  <c r="R273" i="79"/>
  <c r="R351" i="79"/>
  <c r="R223" i="79"/>
  <c r="R284" i="79"/>
  <c r="R58" i="79"/>
  <c r="R88" i="79"/>
  <c r="R289" i="79"/>
  <c r="R226" i="79"/>
  <c r="R182" i="79"/>
  <c r="R205" i="79"/>
  <c r="R72" i="79"/>
  <c r="R231" i="79"/>
  <c r="R106" i="79"/>
  <c r="R77" i="79"/>
  <c r="R165" i="79"/>
  <c r="I105" i="72"/>
  <c r="C300" i="119"/>
  <c r="P21" i="72"/>
  <c r="C88" i="119" s="1"/>
  <c r="W203" i="119"/>
  <c r="AE203" i="119"/>
  <c r="J105" i="72"/>
  <c r="AC203" i="119"/>
  <c r="R70" i="79"/>
  <c r="R18" i="79"/>
  <c r="R41" i="79"/>
  <c r="R235" i="79"/>
  <c r="R239" i="79"/>
  <c r="R186" i="79"/>
  <c r="R202" i="79"/>
  <c r="R252" i="79"/>
  <c r="R94" i="79"/>
  <c r="R361" i="79"/>
  <c r="R91" i="79"/>
  <c r="R162" i="79"/>
  <c r="R352" i="79"/>
  <c r="R211" i="79"/>
  <c r="R341" i="79"/>
  <c r="R98" i="79"/>
  <c r="R78" i="79"/>
  <c r="R240" i="79"/>
  <c r="R25" i="79"/>
  <c r="R117" i="79"/>
  <c r="R35" i="79"/>
  <c r="R344" i="79"/>
  <c r="R131" i="79"/>
  <c r="R71" i="79"/>
  <c r="R24" i="79"/>
  <c r="R261" i="79"/>
  <c r="R42" i="79"/>
  <c r="R100" i="79"/>
  <c r="R95" i="79"/>
  <c r="R310" i="79"/>
  <c r="R198" i="79"/>
  <c r="R237" i="79"/>
  <c r="R281" i="79"/>
  <c r="R307" i="79"/>
  <c r="R290" i="79"/>
  <c r="R196" i="79"/>
  <c r="R282" i="79"/>
  <c r="R368" i="79"/>
  <c r="R298" i="79"/>
  <c r="R287" i="79"/>
  <c r="R136" i="79"/>
  <c r="R126" i="79"/>
  <c r="R199" i="79"/>
  <c r="R115" i="79"/>
  <c r="R188" i="79"/>
  <c r="R61" i="79"/>
  <c r="R337" i="79"/>
  <c r="R62" i="79"/>
  <c r="R108" i="79"/>
  <c r="R209" i="79"/>
  <c r="R149" i="79"/>
  <c r="R324" i="79"/>
  <c r="R161" i="79"/>
  <c r="R159" i="79"/>
  <c r="R220" i="79"/>
  <c r="R224" i="79"/>
  <c r="R50" i="79"/>
  <c r="R362" i="79"/>
  <c r="R366" i="79"/>
  <c r="R176" i="79"/>
  <c r="R33" i="79"/>
  <c r="R227" i="79"/>
  <c r="R150" i="79"/>
  <c r="R340" i="79"/>
  <c r="R216" i="79"/>
  <c r="R130" i="79"/>
  <c r="R179" i="79"/>
  <c r="R241" i="79"/>
  <c r="R57" i="79"/>
  <c r="R151" i="79"/>
  <c r="R167" i="79"/>
  <c r="R37" i="79"/>
  <c r="R22" i="79"/>
  <c r="R81" i="79"/>
  <c r="R125" i="79"/>
  <c r="R191" i="79"/>
  <c r="R194" i="79"/>
  <c r="R73" i="79"/>
  <c r="R187" i="79"/>
  <c r="R68" i="79"/>
  <c r="R109" i="79"/>
  <c r="R60" i="79"/>
  <c r="R316" i="79"/>
  <c r="R257" i="79"/>
  <c r="R317" i="79"/>
  <c r="R325" i="79"/>
  <c r="R190" i="79"/>
  <c r="R343" i="79"/>
  <c r="R82" i="79"/>
  <c r="R360" i="79"/>
  <c r="R213" i="79"/>
  <c r="R332" i="79"/>
  <c r="R204" i="79"/>
  <c r="I208" i="72"/>
  <c r="R26" i="79"/>
  <c r="R56" i="79"/>
  <c r="R295" i="79"/>
  <c r="R206" i="79"/>
  <c r="R55" i="79"/>
  <c r="R356" i="79"/>
  <c r="R354" i="79"/>
  <c r="R142" i="79"/>
  <c r="R193" i="79"/>
  <c r="R283" i="79"/>
  <c r="R214" i="79"/>
  <c r="R215" i="79"/>
  <c r="R177" i="79"/>
  <c r="R79" i="79"/>
  <c r="R146" i="79"/>
  <c r="R169" i="79"/>
  <c r="R114" i="79"/>
  <c r="R263" i="79"/>
  <c r="R248" i="79"/>
  <c r="R208" i="79"/>
  <c r="R99" i="79"/>
  <c r="R275" i="79"/>
  <c r="R197" i="79"/>
  <c r="R135" i="79"/>
  <c r="R168" i="79"/>
  <c r="R326" i="79"/>
  <c r="R29" i="79"/>
  <c r="R27" i="79"/>
  <c r="R296" i="79"/>
  <c r="R259" i="79"/>
  <c r="R297" i="79"/>
  <c r="R367" i="79"/>
  <c r="R342" i="79"/>
  <c r="R359" i="79"/>
  <c r="R221" i="79"/>
  <c r="R140" i="79"/>
  <c r="R111" i="79"/>
  <c r="R121" i="79"/>
  <c r="R255" i="79"/>
  <c r="R96" i="79"/>
  <c r="R15" i="79"/>
  <c r="R67" i="79"/>
  <c r="R178" i="79"/>
  <c r="R144" i="79"/>
  <c r="R268" i="79"/>
  <c r="I219" i="72"/>
  <c r="J219" i="72" s="1"/>
  <c r="K219" i="72" s="1"/>
  <c r="L219" i="72" s="1"/>
  <c r="M219" i="72" s="1"/>
  <c r="P219" i="72" s="1"/>
  <c r="Q219" i="72" s="1"/>
  <c r="R219" i="72" s="1"/>
  <c r="S219" i="72" s="1"/>
  <c r="T219" i="72" s="1"/>
  <c r="H260" i="72" s="1"/>
  <c r="I260" i="72" s="1"/>
  <c r="J260" i="72" s="1"/>
  <c r="K260" i="72" s="1"/>
  <c r="L260" i="72" s="1"/>
  <c r="M260" i="72" s="1"/>
  <c r="P260" i="72" s="1"/>
  <c r="Q260" i="72" s="1"/>
  <c r="R260" i="72" s="1"/>
  <c r="S260" i="72" s="1"/>
  <c r="T260" i="72" s="1"/>
  <c r="H301" i="72" s="1"/>
  <c r="I301" i="72" s="1"/>
  <c r="J301" i="72" s="1"/>
  <c r="K301" i="72" s="1"/>
  <c r="L301" i="72" s="1"/>
  <c r="M301" i="72" s="1"/>
  <c r="P301" i="72" s="1"/>
  <c r="Q301" i="72" s="1"/>
  <c r="R301" i="72" s="1"/>
  <c r="R302" i="79"/>
  <c r="R358" i="79"/>
  <c r="R28" i="79"/>
  <c r="R14" i="79"/>
  <c r="O15" i="79" s="1"/>
  <c r="Q15" i="79" s="1"/>
  <c r="R314" i="79"/>
  <c r="R349" i="79"/>
  <c r="R40" i="79"/>
  <c r="R323" i="79"/>
  <c r="R66" i="79"/>
  <c r="R155" i="79"/>
  <c r="R244" i="79"/>
  <c r="R157" i="79"/>
  <c r="R345" i="79"/>
  <c r="R65" i="79"/>
  <c r="R52" i="79"/>
  <c r="R189" i="79"/>
  <c r="R80" i="79"/>
  <c r="R45" i="79"/>
  <c r="R230" i="79"/>
  <c r="Q14" i="79"/>
  <c r="R258" i="79"/>
  <c r="R253" i="79"/>
  <c r="R305" i="79"/>
  <c r="R129" i="79"/>
  <c r="R217" i="79"/>
  <c r="R233" i="79"/>
  <c r="R319" i="79"/>
  <c r="R201" i="79"/>
  <c r="R86" i="79"/>
  <c r="R32" i="79"/>
  <c r="R89" i="79"/>
  <c r="R308" i="79"/>
  <c r="R49" i="79"/>
  <c r="R276" i="79"/>
  <c r="R262" i="79"/>
  <c r="R148" i="79"/>
  <c r="R264" i="79"/>
  <c r="R185" i="79"/>
  <c r="R85" i="79"/>
  <c r="R23" i="79"/>
  <c r="R158" i="79"/>
  <c r="R34" i="79"/>
  <c r="R181" i="79"/>
  <c r="R16" i="79"/>
  <c r="R363" i="79"/>
  <c r="H219" i="72"/>
  <c r="R301" i="79"/>
  <c r="R137" i="79"/>
  <c r="R43" i="79"/>
  <c r="R236" i="79"/>
  <c r="R173" i="79"/>
  <c r="R63" i="79"/>
  <c r="R133" i="79"/>
  <c r="R300" i="79"/>
  <c r="R278" i="79"/>
  <c r="R122" i="79"/>
  <c r="R74" i="79"/>
  <c r="R184" i="79"/>
  <c r="R293" i="79"/>
  <c r="R243" i="79"/>
  <c r="R38" i="79"/>
  <c r="R170" i="79"/>
  <c r="R371" i="79"/>
  <c r="R309" i="79"/>
  <c r="R123" i="79"/>
  <c r="R327" i="79"/>
  <c r="R338" i="79"/>
  <c r="R31" i="79"/>
  <c r="R246" i="79"/>
  <c r="R93" i="79"/>
  <c r="R207" i="79"/>
  <c r="R174" i="79"/>
  <c r="R242" i="79"/>
  <c r="R353" i="79"/>
  <c r="R260" i="79"/>
  <c r="R331" i="79"/>
  <c r="R238" i="79"/>
  <c r="R313" i="79"/>
  <c r="R83" i="79"/>
  <c r="R120" i="79"/>
  <c r="R119" i="79"/>
  <c r="R249" i="79"/>
  <c r="R54" i="79"/>
  <c r="R183" i="79"/>
  <c r="R69" i="79"/>
  <c r="R172" i="79"/>
  <c r="R373" i="79"/>
  <c r="R175" i="79"/>
  <c r="R272" i="79"/>
  <c r="R350" i="79"/>
  <c r="R147" i="79"/>
  <c r="R357" i="79"/>
  <c r="R271" i="79"/>
  <c r="R210" i="79"/>
  <c r="R102" i="79"/>
  <c r="R304" i="79"/>
  <c r="R164" i="79"/>
  <c r="R265" i="79"/>
  <c r="R365" i="79"/>
  <c r="R153" i="79"/>
  <c r="R346" i="79"/>
  <c r="R330" i="79"/>
  <c r="R44" i="79"/>
  <c r="R256" i="79"/>
  <c r="R250" i="79"/>
  <c r="R107" i="79"/>
  <c r="R291" i="79"/>
  <c r="R322" i="79"/>
  <c r="R288" i="79"/>
  <c r="R87" i="79"/>
  <c r="R103" i="79"/>
  <c r="R306" i="79"/>
  <c r="R328" i="79"/>
  <c r="R312" i="79"/>
  <c r="R348" i="79"/>
  <c r="R163" i="79"/>
  <c r="R101" i="79"/>
  <c r="R269" i="79"/>
  <c r="R299" i="79"/>
  <c r="R134" i="79"/>
  <c r="R171" i="79"/>
  <c r="R116" i="79"/>
  <c r="R333" i="79"/>
  <c r="R372" i="79"/>
  <c r="R139" i="79"/>
  <c r="R47" i="79"/>
  <c r="R75" i="79"/>
  <c r="R339" i="79"/>
  <c r="R251" i="79"/>
  <c r="R303" i="79"/>
  <c r="R160" i="79"/>
  <c r="R336" i="79"/>
  <c r="R112" i="79"/>
  <c r="R329" i="79"/>
  <c r="O14" i="79"/>
  <c r="R355" i="79"/>
  <c r="Y198" i="119"/>
  <c r="X198" i="119"/>
  <c r="Z198" i="119"/>
  <c r="X188" i="119"/>
  <c r="Y188" i="119"/>
  <c r="Z188" i="119"/>
  <c r="W188" i="119"/>
  <c r="AD188" i="119"/>
  <c r="AC188" i="119"/>
  <c r="AC198" i="119"/>
  <c r="Z196" i="119"/>
  <c r="X196" i="119"/>
  <c r="Y196" i="119"/>
  <c r="W198" i="119"/>
  <c r="W191" i="119"/>
  <c r="Y191" i="119"/>
  <c r="Z191" i="119"/>
  <c r="X191" i="119"/>
  <c r="AD191" i="119"/>
  <c r="AC191" i="119"/>
  <c r="AD198" i="119"/>
  <c r="Y203" i="119"/>
  <c r="Z203" i="119"/>
  <c r="X203" i="119"/>
  <c r="E20" i="73"/>
  <c r="Y184" i="119"/>
  <c r="Z184" i="119"/>
  <c r="X184" i="119"/>
  <c r="CA14" i="115"/>
  <c r="AR18" i="115"/>
  <c r="BG18" i="115" s="1"/>
  <c r="Z19" i="115"/>
  <c r="BN18" i="115"/>
  <c r="H111" i="119"/>
  <c r="K111" i="119"/>
  <c r="CA35" i="115"/>
  <c r="G250" i="72"/>
  <c r="W186" i="119"/>
  <c r="M229" i="72"/>
  <c r="G115" i="72"/>
  <c r="D100" i="73"/>
  <c r="D44" i="115"/>
  <c r="H44" i="115" s="1"/>
  <c r="H60" i="72"/>
  <c r="C122" i="119"/>
  <c r="J14" i="79"/>
  <c r="K229" i="72"/>
  <c r="J222" i="72"/>
  <c r="I224" i="72"/>
  <c r="P134" i="72"/>
  <c r="Q134" i="72" s="1"/>
  <c r="D33" i="114"/>
  <c r="E33" i="114"/>
  <c r="C33" i="114"/>
  <c r="B34" i="114"/>
  <c r="I229" i="72"/>
  <c r="W197" i="119"/>
  <c r="AC197" i="119"/>
  <c r="AD197" i="119"/>
  <c r="AD201" i="119"/>
  <c r="W201" i="119"/>
  <c r="AC201" i="119"/>
  <c r="AC202" i="119"/>
  <c r="W202" i="119"/>
  <c r="AD202" i="119"/>
  <c r="P58" i="72"/>
  <c r="C167" i="119"/>
  <c r="H167" i="119" s="1"/>
  <c r="K116" i="72"/>
  <c r="J117" i="72"/>
  <c r="P201" i="119"/>
  <c r="Z201" i="119" s="1"/>
  <c r="O201" i="119"/>
  <c r="Y201" i="119" s="1"/>
  <c r="S201" i="119"/>
  <c r="X201" i="119" s="1"/>
  <c r="Q201" i="119"/>
  <c r="N201" i="119"/>
  <c r="O202" i="119"/>
  <c r="Y202" i="119" s="1"/>
  <c r="N202" i="119"/>
  <c r="Q202" i="119"/>
  <c r="S202" i="119"/>
  <c r="X202" i="119" s="1"/>
  <c r="P202" i="119"/>
  <c r="Z202" i="119" s="1"/>
  <c r="S197" i="119"/>
  <c r="X197" i="119" s="1"/>
  <c r="P197" i="119"/>
  <c r="Z197" i="119" s="1"/>
  <c r="N197" i="119"/>
  <c r="O197" i="119"/>
  <c r="Y197" i="119" s="1"/>
  <c r="Q197" i="119"/>
  <c r="D93" i="73"/>
  <c r="H55" i="72"/>
  <c r="I16" i="79"/>
  <c r="I17" i="79" s="1"/>
  <c r="V8" i="79"/>
  <c r="X100" i="79" s="1"/>
  <c r="P136" i="72"/>
  <c r="Q136" i="72" s="1"/>
  <c r="K15" i="79"/>
  <c r="J15" i="79" s="1"/>
  <c r="P199" i="119"/>
  <c r="Z199" i="119" s="1"/>
  <c r="Q199" i="119"/>
  <c r="N199" i="119"/>
  <c r="O199" i="119"/>
  <c r="Y199" i="119" s="1"/>
  <c r="AD184" i="119"/>
  <c r="AC184" i="119"/>
  <c r="W184" i="119"/>
  <c r="AD199" i="119"/>
  <c r="AC199" i="119"/>
  <c r="W199" i="119"/>
  <c r="X114" i="79"/>
  <c r="X16" i="79"/>
  <c r="X285" i="79"/>
  <c r="X312" i="79"/>
  <c r="X101" i="79"/>
  <c r="X215" i="79"/>
  <c r="X364" i="79"/>
  <c r="X134" i="79"/>
  <c r="X325" i="79"/>
  <c r="X42" i="79"/>
  <c r="X184" i="79"/>
  <c r="X269" i="79"/>
  <c r="X129" i="79"/>
  <c r="X252" i="79"/>
  <c r="X31" i="79"/>
  <c r="X138" i="79"/>
  <c r="X324" i="79"/>
  <c r="X369" i="79"/>
  <c r="X33" i="79"/>
  <c r="X283" i="79"/>
  <c r="X30" i="79"/>
  <c r="X243" i="79"/>
  <c r="X245" i="79"/>
  <c r="X264" i="79"/>
  <c r="X65" i="79"/>
  <c r="X45" i="79"/>
  <c r="X163" i="79"/>
  <c r="X37" i="79"/>
  <c r="W14" i="79"/>
  <c r="X22" i="79"/>
  <c r="X195" i="79"/>
  <c r="X197" i="79"/>
  <c r="X344" i="79"/>
  <c r="X103" i="79"/>
  <c r="X236" i="79"/>
  <c r="X354" i="79"/>
  <c r="X199" i="79"/>
  <c r="X201" i="79"/>
  <c r="X348" i="79"/>
  <c r="X111" i="79"/>
  <c r="X299" i="79"/>
  <c r="X206" i="79"/>
  <c r="X301" i="79"/>
  <c r="X193" i="79"/>
  <c r="X232" i="79"/>
  <c r="X357" i="79"/>
  <c r="X115" i="79"/>
  <c r="X207" i="79"/>
  <c r="X95" i="79"/>
  <c r="X146" i="79"/>
  <c r="X87" i="79"/>
  <c r="X340" i="79"/>
  <c r="X43" i="79"/>
  <c r="X251" i="79"/>
  <c r="X336" i="79"/>
  <c r="X38" i="79"/>
  <c r="X227" i="79"/>
  <c r="X164" i="79"/>
  <c r="X229" i="79"/>
  <c r="X353" i="79"/>
  <c r="X167" i="79"/>
  <c r="X126" i="79"/>
  <c r="X335" i="79"/>
  <c r="X24" i="79"/>
  <c r="X231" i="79"/>
  <c r="X166" i="79"/>
  <c r="X233" i="79"/>
  <c r="X365" i="79"/>
  <c r="X175" i="79"/>
  <c r="X74" i="79"/>
  <c r="X89" i="79"/>
  <c r="X238" i="79"/>
  <c r="X125" i="79"/>
  <c r="X321" i="79"/>
  <c r="X338" i="79"/>
  <c r="X367" i="79"/>
  <c r="X28" i="79"/>
  <c r="X239" i="79"/>
  <c r="X170" i="79"/>
  <c r="X241" i="79"/>
  <c r="X200" i="79"/>
  <c r="X191" i="79"/>
  <c r="X110" i="79"/>
  <c r="X361" i="79"/>
  <c r="X176" i="79"/>
  <c r="X62" i="79"/>
  <c r="X307" i="79"/>
  <c r="X214" i="79"/>
  <c r="X309" i="79"/>
  <c r="X220" i="79"/>
  <c r="X85" i="79"/>
  <c r="X281" i="79"/>
  <c r="X222" i="79"/>
  <c r="X36" i="79"/>
  <c r="X255" i="79"/>
  <c r="X178" i="79"/>
  <c r="X257" i="79"/>
  <c r="X105" i="79"/>
  <c r="X256" i="79"/>
  <c r="X160" i="79"/>
  <c r="X179" i="79"/>
  <c r="X70" i="79"/>
  <c r="X291" i="79"/>
  <c r="X198" i="79"/>
  <c r="X293" i="79"/>
  <c r="X177" i="79"/>
  <c r="X155" i="79"/>
  <c r="X282" i="79"/>
  <c r="X318" i="79"/>
  <c r="X56" i="79"/>
  <c r="X295" i="79"/>
  <c r="X202" i="79"/>
  <c r="X297" i="79"/>
  <c r="X185" i="79"/>
  <c r="X171" i="79"/>
  <c r="X15" i="79"/>
  <c r="X120" i="79"/>
  <c r="X302" i="79"/>
  <c r="X308" i="79"/>
  <c r="X355" i="79"/>
  <c r="X32" i="79"/>
  <c r="X219" i="79"/>
  <c r="X60" i="79"/>
  <c r="X303" i="79"/>
  <c r="X210" i="79"/>
  <c r="X305" i="79"/>
  <c r="X204" i="79"/>
  <c r="X21" i="79"/>
  <c r="X218" i="79"/>
  <c r="X75" i="79"/>
  <c r="X244" i="79"/>
  <c r="X94" i="79"/>
  <c r="X108" i="79"/>
  <c r="X278" i="79"/>
  <c r="X212" i="79"/>
  <c r="X331" i="79"/>
  <c r="X280" i="79"/>
  <c r="X224" i="79"/>
  <c r="X131" i="79"/>
  <c r="X68" i="79"/>
  <c r="X41" i="79"/>
  <c r="X226" i="79"/>
  <c r="X59" i="79"/>
  <c r="X268" i="79"/>
  <c r="X326" i="79"/>
  <c r="X254" i="79"/>
  <c r="X151" i="79"/>
  <c r="X14" i="79"/>
  <c r="U15" i="79" s="1"/>
  <c r="X99" i="79"/>
  <c r="X262" i="79"/>
  <c r="X173" i="79"/>
  <c r="X316" i="79"/>
  <c r="X362" i="79"/>
  <c r="X313" i="79"/>
  <c r="X29" i="79"/>
  <c r="X88" i="79"/>
  <c r="X102" i="79"/>
  <c r="X266" i="79"/>
  <c r="X181" i="79"/>
  <c r="X319" i="79"/>
  <c r="X366" i="79"/>
  <c r="X203" i="79"/>
  <c r="X152" i="79"/>
  <c r="X205" i="79"/>
  <c r="X352" i="79"/>
  <c r="X119" i="79"/>
  <c r="X279" i="79"/>
  <c r="X286" i="79"/>
  <c r="X92" i="79"/>
  <c r="X106" i="79"/>
  <c r="X274" i="79"/>
  <c r="X196" i="79"/>
  <c r="X327" i="79"/>
  <c r="X147" i="79"/>
  <c r="X249" i="79"/>
  <c r="X66" i="79"/>
  <c r="X339" i="79"/>
  <c r="X47" i="79"/>
  <c r="X140" i="79"/>
  <c r="X39" i="79"/>
  <c r="X328" i="79"/>
  <c r="X123" i="79"/>
  <c r="X63" i="79"/>
  <c r="X82" i="79"/>
  <c r="X223" i="79"/>
  <c r="X165" i="79"/>
  <c r="X192" i="79"/>
  <c r="X259" i="79"/>
  <c r="X276" i="79"/>
  <c r="X217" i="79"/>
  <c r="X263" i="79"/>
  <c r="X292" i="79"/>
  <c r="X317" i="79"/>
  <c r="X189" i="79"/>
  <c r="X174" i="79"/>
  <c r="X315" i="79"/>
  <c r="X133" i="79"/>
  <c r="X342" i="79"/>
  <c r="X350" i="79"/>
  <c r="X17" i="79"/>
  <c r="X310" i="79"/>
  <c r="X363" i="79"/>
  <c r="X250" i="79"/>
  <c r="X287" i="79"/>
  <c r="X372" i="79"/>
  <c r="X221" i="79"/>
  <c r="X57" i="79"/>
  <c r="X113" i="79"/>
  <c r="X228" i="79"/>
  <c r="X73" i="79"/>
  <c r="X121" i="79"/>
  <c r="X235" i="79"/>
  <c r="X320" i="79"/>
  <c r="X50" i="79"/>
  <c r="X122" i="79"/>
  <c r="X341" i="79"/>
  <c r="X64" i="79"/>
  <c r="X49" i="79"/>
  <c r="X211" i="79"/>
  <c r="X213" i="79"/>
  <c r="X135" i="79"/>
  <c r="X27" i="79"/>
  <c r="X162" i="79"/>
  <c r="X69" i="79"/>
  <c r="X371" i="79"/>
  <c r="X180" i="79"/>
  <c r="X347" i="79"/>
  <c r="X296" i="79"/>
  <c r="X182" i="79"/>
  <c r="X351" i="79"/>
  <c r="X136" i="79"/>
  <c r="X323" i="79"/>
  <c r="X157" i="79"/>
  <c r="X186" i="79"/>
  <c r="X137" i="79"/>
  <c r="X158" i="79"/>
  <c r="X71" i="79"/>
  <c r="X35" i="79"/>
  <c r="X141" i="79"/>
  <c r="X373" i="79"/>
  <c r="X79" i="79"/>
  <c r="X194" i="79"/>
  <c r="X159" i="79"/>
  <c r="X322" i="79"/>
  <c r="X230" i="79"/>
  <c r="X272" i="79"/>
  <c r="X161" i="79"/>
  <c r="X234" i="79"/>
  <c r="X288" i="79"/>
  <c r="X168" i="79"/>
  <c r="X345" i="79"/>
  <c r="X44" i="79"/>
  <c r="X242" i="79"/>
  <c r="X329" i="79"/>
  <c r="X314" i="79"/>
  <c r="X368" i="79"/>
  <c r="X124" i="79"/>
  <c r="X349" i="79"/>
  <c r="X346" i="79"/>
  <c r="X25" i="79"/>
  <c r="X52" i="79"/>
  <c r="X225" i="79"/>
  <c r="X358" i="79"/>
  <c r="X86" i="79"/>
  <c r="X261" i="79"/>
  <c r="X80" i="79"/>
  <c r="X72" i="79"/>
  <c r="X265" i="79"/>
  <c r="X26" i="79"/>
  <c r="X93" i="79"/>
  <c r="X370" i="79"/>
  <c r="X18" i="79"/>
  <c r="X209" i="79"/>
  <c r="X127" i="79"/>
  <c r="X153" i="79"/>
  <c r="X46" i="79"/>
  <c r="X188" i="79"/>
  <c r="X145" i="79"/>
  <c r="X311" i="79"/>
  <c r="X253" i="79"/>
  <c r="X289" i="79"/>
  <c r="X294" i="79"/>
  <c r="X118" i="79"/>
  <c r="X237" i="79"/>
  <c r="X306" i="79"/>
  <c r="X112" i="79"/>
  <c r="X337" i="79"/>
  <c r="X169" i="79"/>
  <c r="X109" i="79"/>
  <c r="X298" i="79"/>
  <c r="X107" i="79"/>
  <c r="X273" i="79"/>
  <c r="X240" i="79"/>
  <c r="X208" i="79"/>
  <c r="X139" i="79"/>
  <c r="X284" i="79"/>
  <c r="X117" i="79"/>
  <c r="X183" i="79"/>
  <c r="X356" i="79"/>
  <c r="X78" i="79"/>
  <c r="X48" i="79"/>
  <c r="X67" i="79"/>
  <c r="X330" i="79"/>
  <c r="X300" i="79"/>
  <c r="X96" i="79"/>
  <c r="X359" i="79"/>
  <c r="X275" i="79"/>
  <c r="X142" i="79"/>
  <c r="X20" i="79"/>
  <c r="X91" i="79"/>
  <c r="X190" i="79"/>
  <c r="X334" i="79"/>
  <c r="X128" i="79"/>
  <c r="X333" i="79"/>
  <c r="X156" i="79"/>
  <c r="X34" i="79"/>
  <c r="X83" i="79"/>
  <c r="X40" i="79"/>
  <c r="X104" i="79"/>
  <c r="X271" i="79"/>
  <c r="X149" i="79"/>
  <c r="X277" i="79"/>
  <c r="X270" i="79"/>
  <c r="X84" i="79"/>
  <c r="X76" i="79"/>
  <c r="X258" i="79"/>
  <c r="X154" i="79"/>
  <c r="X54" i="79"/>
  <c r="X247" i="79"/>
  <c r="X116" i="79"/>
  <c r="X216" i="79"/>
  <c r="X19" i="79"/>
  <c r="X360" i="79"/>
  <c r="X143" i="79"/>
  <c r="X90" i="79"/>
  <c r="X246" i="79"/>
  <c r="X144" i="79"/>
  <c r="H10" i="115"/>
  <c r="H229" i="72"/>
  <c r="G189" i="119"/>
  <c r="I126" i="72"/>
  <c r="BI3" i="115"/>
  <c r="K117" i="119"/>
  <c r="H117" i="119"/>
  <c r="L229" i="72"/>
  <c r="S199" i="119"/>
  <c r="X199" i="119" s="1"/>
  <c r="AF190" i="119"/>
  <c r="J229" i="72"/>
  <c r="Q184" i="119"/>
  <c r="N184" i="119"/>
  <c r="O184" i="119"/>
  <c r="P184" i="119"/>
  <c r="D70" i="73"/>
  <c r="D71" i="73" s="1"/>
  <c r="H32" i="72"/>
  <c r="J199" i="72"/>
  <c r="J54" i="73"/>
  <c r="J60" i="73" s="1"/>
  <c r="F60" i="73"/>
  <c r="F107" i="73" s="1"/>
  <c r="W78" i="72" s="1"/>
  <c r="H97" i="119"/>
  <c r="Z21" i="72" l="1"/>
  <c r="AB20" i="72"/>
  <c r="AA21" i="72"/>
  <c r="Y29" i="72"/>
  <c r="J176" i="119"/>
  <c r="K176" i="119"/>
  <c r="W80" i="72"/>
  <c r="J237" i="72"/>
  <c r="K237" i="72" s="1"/>
  <c r="L237" i="72" s="1"/>
  <c r="M237" i="72" s="1"/>
  <c r="N237" i="72" s="1"/>
  <c r="O237" i="72" s="1"/>
  <c r="P237" i="72" s="1"/>
  <c r="Q237" i="72" s="1"/>
  <c r="R237" i="72" s="1"/>
  <c r="S237" i="72" s="1"/>
  <c r="T237" i="72" s="1"/>
  <c r="G278" i="72" s="1"/>
  <c r="H278" i="72" s="1"/>
  <c r="D14" i="79"/>
  <c r="E15" i="79"/>
  <c r="D15" i="79" s="1"/>
  <c r="C16" i="79"/>
  <c r="C17" i="79" s="1"/>
  <c r="R28" i="115"/>
  <c r="X28" i="115" s="1"/>
  <c r="H250" i="72"/>
  <c r="R33" i="115"/>
  <c r="X33" i="115" s="1"/>
  <c r="P51" i="115"/>
  <c r="P53" i="115" s="1"/>
  <c r="V19" i="115"/>
  <c r="V51" i="115" s="1"/>
  <c r="V53" i="115" s="1"/>
  <c r="R19" i="115"/>
  <c r="W83" i="72"/>
  <c r="J155" i="72"/>
  <c r="M155" i="72" s="1"/>
  <c r="O155" i="72"/>
  <c r="I156" i="72"/>
  <c r="D156" i="72"/>
  <c r="AE156" i="72" s="1"/>
  <c r="F156" i="72"/>
  <c r="A157" i="72"/>
  <c r="N156" i="72"/>
  <c r="L156" i="72"/>
  <c r="H156" i="72"/>
  <c r="K156" i="72"/>
  <c r="Q42" i="89"/>
  <c r="Q48" i="89" s="1"/>
  <c r="L59" i="41"/>
  <c r="R332" i="72"/>
  <c r="P291" i="72"/>
  <c r="J332" i="72"/>
  <c r="I332" i="72"/>
  <c r="T250" i="72"/>
  <c r="R291" i="72"/>
  <c r="M291" i="72"/>
  <c r="S250" i="72"/>
  <c r="Q332" i="72"/>
  <c r="S291" i="72"/>
  <c r="L291" i="72"/>
  <c r="J250" i="72"/>
  <c r="G332" i="72"/>
  <c r="L332" i="72"/>
  <c r="L250" i="72"/>
  <c r="K250" i="72"/>
  <c r="K291" i="72"/>
  <c r="H332" i="72"/>
  <c r="Q291" i="72"/>
  <c r="M332" i="72"/>
  <c r="J291" i="72"/>
  <c r="I291" i="72"/>
  <c r="P250" i="72"/>
  <c r="K332" i="72"/>
  <c r="G291" i="72"/>
  <c r="P332" i="72"/>
  <c r="M250" i="72"/>
  <c r="T291" i="72"/>
  <c r="Q250" i="72"/>
  <c r="I250" i="72"/>
  <c r="R250" i="72"/>
  <c r="H291" i="72"/>
  <c r="V14" i="72"/>
  <c r="V17" i="72" s="1"/>
  <c r="V12" i="72"/>
  <c r="X150" i="79"/>
  <c r="X148" i="79"/>
  <c r="X130" i="79"/>
  <c r="X332" i="79"/>
  <c r="X55" i="79"/>
  <c r="X248" i="79"/>
  <c r="X343" i="79"/>
  <c r="X58" i="79"/>
  <c r="X51" i="79"/>
  <c r="X98" i="79"/>
  <c r="X172" i="79"/>
  <c r="X23" i="79"/>
  <c r="X267" i="79"/>
  <c r="X132" i="79"/>
  <c r="X53" i="79"/>
  <c r="X187" i="79"/>
  <c r="X260" i="79"/>
  <c r="X304" i="79"/>
  <c r="X77" i="79"/>
  <c r="X61" i="79"/>
  <c r="X290" i="79"/>
  <c r="X97" i="79"/>
  <c r="X81" i="79"/>
  <c r="I34" i="97"/>
  <c r="H36" i="97"/>
  <c r="I36" i="97" s="1"/>
  <c r="P23" i="73"/>
  <c r="O16" i="79"/>
  <c r="O17" i="79" s="1"/>
  <c r="T105" i="72"/>
  <c r="Q229" i="72"/>
  <c r="P15" i="79"/>
  <c r="K270" i="72"/>
  <c r="J270" i="72"/>
  <c r="P14" i="79"/>
  <c r="S190" i="119"/>
  <c r="V190" i="119"/>
  <c r="AE190" i="119" s="1"/>
  <c r="S229" i="72"/>
  <c r="T229" i="72"/>
  <c r="I270" i="72"/>
  <c r="H270" i="72"/>
  <c r="AR19" i="115"/>
  <c r="BG19" i="115" s="1"/>
  <c r="BN19" i="115"/>
  <c r="Z20" i="115"/>
  <c r="P229" i="72"/>
  <c r="R229" i="72"/>
  <c r="L270" i="72"/>
  <c r="L110" i="72"/>
  <c r="K121" i="119" s="1"/>
  <c r="D99" i="73"/>
  <c r="D42" i="115"/>
  <c r="H42" i="115" s="1"/>
  <c r="C120" i="119"/>
  <c r="H120" i="119" s="1"/>
  <c r="H58" i="72"/>
  <c r="D97" i="73" s="1"/>
  <c r="J224" i="72"/>
  <c r="K222" i="72"/>
  <c r="G117" i="72"/>
  <c r="T115" i="72"/>
  <c r="D34" i="114"/>
  <c r="B35" i="114"/>
  <c r="C34" i="114"/>
  <c r="E34" i="114"/>
  <c r="H122" i="119"/>
  <c r="K122" i="119"/>
  <c r="L116" i="72"/>
  <c r="K117" i="72"/>
  <c r="K17" i="79"/>
  <c r="J17" i="79" s="1"/>
  <c r="E19" i="73"/>
  <c r="J107" i="73"/>
  <c r="G236" i="72"/>
  <c r="I12" i="74"/>
  <c r="I17" i="74" s="1"/>
  <c r="J27" i="74" s="1"/>
  <c r="I18" i="79"/>
  <c r="W187" i="119"/>
  <c r="AF189" i="119"/>
  <c r="M189" i="119"/>
  <c r="V189" i="119" s="1"/>
  <c r="AE189" i="119" s="1"/>
  <c r="C206" i="119"/>
  <c r="W15" i="79"/>
  <c r="V15" i="79"/>
  <c r="U16" i="79"/>
  <c r="U17" i="79" s="1"/>
  <c r="U14" i="79"/>
  <c r="V14" i="79" s="1"/>
  <c r="S15" i="79"/>
  <c r="S16" i="79" s="1"/>
  <c r="S17" i="79" s="1"/>
  <c r="S18" i="79" s="1"/>
  <c r="S19" i="79" s="1"/>
  <c r="S20" i="79" s="1"/>
  <c r="S21" i="79" s="1"/>
  <c r="S22" i="79" s="1"/>
  <c r="S23" i="79" s="1"/>
  <c r="S24" i="79" s="1"/>
  <c r="S25" i="79" s="1"/>
  <c r="S26" i="79" s="1"/>
  <c r="S27" i="79" s="1"/>
  <c r="S28" i="79" s="1"/>
  <c r="S29" i="79" s="1"/>
  <c r="S30" i="79" s="1"/>
  <c r="S31" i="79" s="1"/>
  <c r="S32" i="79" s="1"/>
  <c r="S33" i="79" s="1"/>
  <c r="S34" i="79" s="1"/>
  <c r="S35" i="79" s="1"/>
  <c r="S36" i="79" s="1"/>
  <c r="S37" i="79" s="1"/>
  <c r="S38" i="79" s="1"/>
  <c r="S39" i="79" s="1"/>
  <c r="S40" i="79" s="1"/>
  <c r="S41" i="79" s="1"/>
  <c r="S42" i="79" s="1"/>
  <c r="S43" i="79" s="1"/>
  <c r="S44" i="79" s="1"/>
  <c r="S45" i="79" s="1"/>
  <c r="S46" i="79" s="1"/>
  <c r="S47" i="79" s="1"/>
  <c r="S48" i="79" s="1"/>
  <c r="S49" i="79" s="1"/>
  <c r="S50" i="79" s="1"/>
  <c r="S51" i="79" s="1"/>
  <c r="S52" i="79" s="1"/>
  <c r="S53" i="79" s="1"/>
  <c r="S54" i="79" s="1"/>
  <c r="S55" i="79" s="1"/>
  <c r="S56" i="79" s="1"/>
  <c r="S57" i="79" s="1"/>
  <c r="S58" i="79" s="1"/>
  <c r="S59" i="79" s="1"/>
  <c r="S60" i="79" s="1"/>
  <c r="S61" i="79" s="1"/>
  <c r="S62" i="79" s="1"/>
  <c r="S63" i="79" s="1"/>
  <c r="S64" i="79" s="1"/>
  <c r="S65" i="79" s="1"/>
  <c r="S66" i="79" s="1"/>
  <c r="S67" i="79" s="1"/>
  <c r="S68" i="79" s="1"/>
  <c r="S69" i="79" s="1"/>
  <c r="S70" i="79" s="1"/>
  <c r="S71" i="79" s="1"/>
  <c r="S72" i="79" s="1"/>
  <c r="S73" i="79" s="1"/>
  <c r="S74" i="79" s="1"/>
  <c r="S75" i="79" s="1"/>
  <c r="S76" i="79" s="1"/>
  <c r="S77" i="79" s="1"/>
  <c r="S78" i="79" s="1"/>
  <c r="S79" i="79" s="1"/>
  <c r="S80" i="79" s="1"/>
  <c r="S81" i="79" s="1"/>
  <c r="S82" i="79" s="1"/>
  <c r="S83" i="79" s="1"/>
  <c r="S84" i="79" s="1"/>
  <c r="S85" i="79" s="1"/>
  <c r="S86" i="79" s="1"/>
  <c r="S87" i="79" s="1"/>
  <c r="S88" i="79" s="1"/>
  <c r="S89" i="79" s="1"/>
  <c r="S90" i="79" s="1"/>
  <c r="S91" i="79" s="1"/>
  <c r="S92" i="79" s="1"/>
  <c r="S93" i="79" s="1"/>
  <c r="S94" i="79" s="1"/>
  <c r="S95" i="79" s="1"/>
  <c r="S96" i="79" s="1"/>
  <c r="S97" i="79" s="1"/>
  <c r="S98" i="79" s="1"/>
  <c r="S99" i="79" s="1"/>
  <c r="S100" i="79" s="1"/>
  <c r="S101" i="79" s="1"/>
  <c r="S102" i="79" s="1"/>
  <c r="S103" i="79" s="1"/>
  <c r="S104" i="79" s="1"/>
  <c r="S105" i="79" s="1"/>
  <c r="S106" i="79" s="1"/>
  <c r="S107" i="79" s="1"/>
  <c r="S108" i="79" s="1"/>
  <c r="S109" i="79" s="1"/>
  <c r="S110" i="79" s="1"/>
  <c r="S111" i="79" s="1"/>
  <c r="S112" i="79" s="1"/>
  <c r="S113" i="79" s="1"/>
  <c r="S114" i="79" s="1"/>
  <c r="S115" i="79" s="1"/>
  <c r="S116" i="79" s="1"/>
  <c r="S117" i="79" s="1"/>
  <c r="S118" i="79" s="1"/>
  <c r="S119" i="79" s="1"/>
  <c r="S120" i="79" s="1"/>
  <c r="S121" i="79" s="1"/>
  <c r="S122" i="79" s="1"/>
  <c r="S123" i="79" s="1"/>
  <c r="S124" i="79" s="1"/>
  <c r="S125" i="79" s="1"/>
  <c r="S126" i="79" s="1"/>
  <c r="S127" i="79" s="1"/>
  <c r="S128" i="79" s="1"/>
  <c r="S129" i="79" s="1"/>
  <c r="S130" i="79" s="1"/>
  <c r="S131" i="79" s="1"/>
  <c r="S132" i="79" s="1"/>
  <c r="S133" i="79" s="1"/>
  <c r="S134" i="79" s="1"/>
  <c r="S135" i="79" s="1"/>
  <c r="S136" i="79" s="1"/>
  <c r="S137" i="79" s="1"/>
  <c r="S138" i="79" s="1"/>
  <c r="S139" i="79" s="1"/>
  <c r="S140" i="79" s="1"/>
  <c r="S141" i="79" s="1"/>
  <c r="S142" i="79" s="1"/>
  <c r="S143" i="79" s="1"/>
  <c r="S144" i="79" s="1"/>
  <c r="S145" i="79" s="1"/>
  <c r="S146" i="79" s="1"/>
  <c r="S147" i="79" s="1"/>
  <c r="S148" i="79" s="1"/>
  <c r="S149" i="79" s="1"/>
  <c r="S150" i="79" s="1"/>
  <c r="S151" i="79" s="1"/>
  <c r="S152" i="79" s="1"/>
  <c r="S153" i="79" s="1"/>
  <c r="S154" i="79" s="1"/>
  <c r="S155" i="79" s="1"/>
  <c r="S156" i="79" s="1"/>
  <c r="S157" i="79" s="1"/>
  <c r="S158" i="79" s="1"/>
  <c r="S159" i="79" s="1"/>
  <c r="S160" i="79" s="1"/>
  <c r="S161" i="79" s="1"/>
  <c r="S162" i="79" s="1"/>
  <c r="S163" i="79" s="1"/>
  <c r="S164" i="79" s="1"/>
  <c r="S165" i="79" s="1"/>
  <c r="S166" i="79" s="1"/>
  <c r="S167" i="79" s="1"/>
  <c r="S168" i="79" s="1"/>
  <c r="S169" i="79" s="1"/>
  <c r="S170" i="79" s="1"/>
  <c r="S171" i="79" s="1"/>
  <c r="S172" i="79" s="1"/>
  <c r="S173" i="79" s="1"/>
  <c r="S174" i="79" s="1"/>
  <c r="S175" i="79" s="1"/>
  <c r="S176" i="79" s="1"/>
  <c r="S177" i="79" s="1"/>
  <c r="S178" i="79" s="1"/>
  <c r="S179" i="79" s="1"/>
  <c r="S180" i="79" s="1"/>
  <c r="S181" i="79" s="1"/>
  <c r="S182" i="79" s="1"/>
  <c r="S183" i="79" s="1"/>
  <c r="S184" i="79" s="1"/>
  <c r="S185" i="79" s="1"/>
  <c r="S186" i="79" s="1"/>
  <c r="S187" i="79" s="1"/>
  <c r="S188" i="79" s="1"/>
  <c r="S189" i="79" s="1"/>
  <c r="S190" i="79" s="1"/>
  <c r="S191" i="79" s="1"/>
  <c r="S192" i="79" s="1"/>
  <c r="S193" i="79" s="1"/>
  <c r="S194" i="79" s="1"/>
  <c r="S195" i="79" s="1"/>
  <c r="S196" i="79" s="1"/>
  <c r="S197" i="79" s="1"/>
  <c r="S198" i="79" s="1"/>
  <c r="S199" i="79" s="1"/>
  <c r="S200" i="79" s="1"/>
  <c r="S201" i="79" s="1"/>
  <c r="S202" i="79" s="1"/>
  <c r="S203" i="79" s="1"/>
  <c r="S204" i="79" s="1"/>
  <c r="S205" i="79" s="1"/>
  <c r="S206" i="79" s="1"/>
  <c r="S207" i="79" s="1"/>
  <c r="S208" i="79" s="1"/>
  <c r="S209" i="79" s="1"/>
  <c r="S210" i="79" s="1"/>
  <c r="S211" i="79" s="1"/>
  <c r="S212" i="79" s="1"/>
  <c r="S213" i="79" s="1"/>
  <c r="S214" i="79" s="1"/>
  <c r="S215" i="79" s="1"/>
  <c r="S216" i="79" s="1"/>
  <c r="S217" i="79" s="1"/>
  <c r="S218" i="79" s="1"/>
  <c r="S219" i="79" s="1"/>
  <c r="S220" i="79" s="1"/>
  <c r="S221" i="79" s="1"/>
  <c r="S222" i="79" s="1"/>
  <c r="S223" i="79" s="1"/>
  <c r="S224" i="79" s="1"/>
  <c r="S225" i="79" s="1"/>
  <c r="S226" i="79" s="1"/>
  <c r="S227" i="79" s="1"/>
  <c r="S228" i="79" s="1"/>
  <c r="S229" i="79" s="1"/>
  <c r="S230" i="79" s="1"/>
  <c r="S231" i="79" s="1"/>
  <c r="S232" i="79" s="1"/>
  <c r="S233" i="79" s="1"/>
  <c r="S234" i="79" s="1"/>
  <c r="S235" i="79" s="1"/>
  <c r="S236" i="79" s="1"/>
  <c r="S237" i="79" s="1"/>
  <c r="S238" i="79" s="1"/>
  <c r="S239" i="79" s="1"/>
  <c r="S240" i="79" s="1"/>
  <c r="S241" i="79" s="1"/>
  <c r="S242" i="79" s="1"/>
  <c r="S243" i="79" s="1"/>
  <c r="S244" i="79" s="1"/>
  <c r="S245" i="79" s="1"/>
  <c r="S246" i="79" s="1"/>
  <c r="S247" i="79" s="1"/>
  <c r="S248" i="79" s="1"/>
  <c r="S249" i="79" s="1"/>
  <c r="S250" i="79" s="1"/>
  <c r="S251" i="79" s="1"/>
  <c r="S252" i="79" s="1"/>
  <c r="S253" i="79" s="1"/>
  <c r="S254" i="79" s="1"/>
  <c r="S255" i="79" s="1"/>
  <c r="S256" i="79" s="1"/>
  <c r="S257" i="79" s="1"/>
  <c r="S258" i="79" s="1"/>
  <c r="S259" i="79" s="1"/>
  <c r="S260" i="79" s="1"/>
  <c r="S261" i="79" s="1"/>
  <c r="S262" i="79" s="1"/>
  <c r="S263" i="79" s="1"/>
  <c r="S264" i="79" s="1"/>
  <c r="S265" i="79" s="1"/>
  <c r="S266" i="79" s="1"/>
  <c r="S267" i="79" s="1"/>
  <c r="S268" i="79" s="1"/>
  <c r="S269" i="79" s="1"/>
  <c r="S270" i="79" s="1"/>
  <c r="S271" i="79" s="1"/>
  <c r="S272" i="79" s="1"/>
  <c r="S273" i="79" s="1"/>
  <c r="S274" i="79" s="1"/>
  <c r="S275" i="79" s="1"/>
  <c r="S276" i="79" s="1"/>
  <c r="S277" i="79" s="1"/>
  <c r="S278" i="79" s="1"/>
  <c r="S279" i="79" s="1"/>
  <c r="S280" i="79" s="1"/>
  <c r="S281" i="79" s="1"/>
  <c r="S282" i="79" s="1"/>
  <c r="S283" i="79" s="1"/>
  <c r="S284" i="79" s="1"/>
  <c r="S285" i="79" s="1"/>
  <c r="S286" i="79" s="1"/>
  <c r="S287" i="79" s="1"/>
  <c r="S288" i="79" s="1"/>
  <c r="S289" i="79" s="1"/>
  <c r="S290" i="79" s="1"/>
  <c r="S291" i="79" s="1"/>
  <c r="S292" i="79" s="1"/>
  <c r="S293" i="79" s="1"/>
  <c r="S294" i="79" s="1"/>
  <c r="S295" i="79" s="1"/>
  <c r="S296" i="79" s="1"/>
  <c r="S297" i="79" s="1"/>
  <c r="S298" i="79" s="1"/>
  <c r="S299" i="79" s="1"/>
  <c r="S300" i="79" s="1"/>
  <c r="S301" i="79" s="1"/>
  <c r="S302" i="79" s="1"/>
  <c r="S303" i="79" s="1"/>
  <c r="S304" i="79" s="1"/>
  <c r="S305" i="79" s="1"/>
  <c r="S306" i="79" s="1"/>
  <c r="S307" i="79" s="1"/>
  <c r="S308" i="79" s="1"/>
  <c r="S309" i="79" s="1"/>
  <c r="S310" i="79" s="1"/>
  <c r="S311" i="79" s="1"/>
  <c r="S312" i="79" s="1"/>
  <c r="S313" i="79" s="1"/>
  <c r="S314" i="79" s="1"/>
  <c r="S315" i="79" s="1"/>
  <c r="S316" i="79" s="1"/>
  <c r="S317" i="79" s="1"/>
  <c r="S318" i="79" s="1"/>
  <c r="S319" i="79" s="1"/>
  <c r="S320" i="79" s="1"/>
  <c r="S321" i="79" s="1"/>
  <c r="S322" i="79" s="1"/>
  <c r="S323" i="79" s="1"/>
  <c r="S324" i="79" s="1"/>
  <c r="S325" i="79" s="1"/>
  <c r="S326" i="79" s="1"/>
  <c r="S327" i="79" s="1"/>
  <c r="S328" i="79" s="1"/>
  <c r="S329" i="79" s="1"/>
  <c r="S330" i="79" s="1"/>
  <c r="S331" i="79" s="1"/>
  <c r="S332" i="79" s="1"/>
  <c r="S333" i="79" s="1"/>
  <c r="S334" i="79" s="1"/>
  <c r="S335" i="79" s="1"/>
  <c r="S336" i="79" s="1"/>
  <c r="S337" i="79" s="1"/>
  <c r="S338" i="79" s="1"/>
  <c r="S339" i="79" s="1"/>
  <c r="S340" i="79" s="1"/>
  <c r="S341" i="79" s="1"/>
  <c r="S342" i="79" s="1"/>
  <c r="S343" i="79" s="1"/>
  <c r="S344" i="79" s="1"/>
  <c r="S345" i="79" s="1"/>
  <c r="S346" i="79" s="1"/>
  <c r="S347" i="79" s="1"/>
  <c r="S348" i="79" s="1"/>
  <c r="S349" i="79" s="1"/>
  <c r="S350" i="79" s="1"/>
  <c r="S351" i="79" s="1"/>
  <c r="S352" i="79" s="1"/>
  <c r="S353" i="79" s="1"/>
  <c r="S354" i="79" s="1"/>
  <c r="S355" i="79" s="1"/>
  <c r="S356" i="79" s="1"/>
  <c r="S357" i="79" s="1"/>
  <c r="S358" i="79" s="1"/>
  <c r="S359" i="79" s="1"/>
  <c r="S360" i="79" s="1"/>
  <c r="S361" i="79" s="1"/>
  <c r="S362" i="79" s="1"/>
  <c r="S363" i="79" s="1"/>
  <c r="S364" i="79" s="1"/>
  <c r="S365" i="79" s="1"/>
  <c r="S366" i="79" s="1"/>
  <c r="S367" i="79" s="1"/>
  <c r="S368" i="79" s="1"/>
  <c r="S369" i="79" s="1"/>
  <c r="S370" i="79" s="1"/>
  <c r="S371" i="79" s="1"/>
  <c r="S372" i="79" s="1"/>
  <c r="S373" i="79" s="1"/>
  <c r="Q190" i="119"/>
  <c r="N190" i="119"/>
  <c r="P190" i="119"/>
  <c r="O190" i="119"/>
  <c r="K16" i="79"/>
  <c r="J16" i="79" s="1"/>
  <c r="L10" i="115"/>
  <c r="P32" i="72"/>
  <c r="Q270" i="72"/>
  <c r="S270" i="72"/>
  <c r="J311" i="72"/>
  <c r="P270" i="72"/>
  <c r="R311" i="72"/>
  <c r="H311" i="72"/>
  <c r="T270" i="72"/>
  <c r="M311" i="72"/>
  <c r="K311" i="72"/>
  <c r="M270" i="72"/>
  <c r="R270" i="72"/>
  <c r="P311" i="72"/>
  <c r="L311" i="72"/>
  <c r="I311" i="72"/>
  <c r="Q311" i="72"/>
  <c r="G104" i="72"/>
  <c r="P55" i="72"/>
  <c r="C118" i="119" s="1"/>
  <c r="E114" i="73"/>
  <c r="D114" i="73"/>
  <c r="D94" i="73"/>
  <c r="D48" i="97"/>
  <c r="Z22" i="72" l="1"/>
  <c r="AA22" i="72"/>
  <c r="AB21" i="72"/>
  <c r="Y30" i="72"/>
  <c r="E16" i="79"/>
  <c r="D16" i="79" s="1"/>
  <c r="I278" i="72"/>
  <c r="J278" i="72" s="1"/>
  <c r="K278" i="72" s="1"/>
  <c r="L278" i="72" s="1"/>
  <c r="M278" i="72" s="1"/>
  <c r="N278" i="72" s="1"/>
  <c r="O278" i="72" s="1"/>
  <c r="P278" i="72" s="1"/>
  <c r="Q278" i="72" s="1"/>
  <c r="R278" i="72" s="1"/>
  <c r="S278" i="72" s="1"/>
  <c r="T278" i="72" s="1"/>
  <c r="G319" i="72" s="1"/>
  <c r="H319" i="72" s="1"/>
  <c r="I319" i="72" s="1"/>
  <c r="J319" i="72" s="1"/>
  <c r="K319" i="72" s="1"/>
  <c r="L319" i="72" s="1"/>
  <c r="M319" i="72" s="1"/>
  <c r="P319" i="72" s="1"/>
  <c r="Q319" i="72" s="1"/>
  <c r="R319" i="72" s="1"/>
  <c r="W82" i="72"/>
  <c r="H58" i="44" s="1"/>
  <c r="E41" i="44"/>
  <c r="X19" i="115"/>
  <c r="X51" i="115" s="1"/>
  <c r="X53" i="115" s="1"/>
  <c r="R51" i="115"/>
  <c r="R53" i="115" s="1"/>
  <c r="H37" i="97"/>
  <c r="H38" i="97" s="1"/>
  <c r="AR5" i="115"/>
  <c r="BA13" i="115"/>
  <c r="BI13" i="115"/>
  <c r="BA5" i="115"/>
  <c r="V55" i="115"/>
  <c r="E157" i="72"/>
  <c r="F157" i="72"/>
  <c r="P88" i="72"/>
  <c r="F194" i="119" s="1"/>
  <c r="M77" i="73"/>
  <c r="N77" i="73" s="1"/>
  <c r="W90" i="72"/>
  <c r="A158" i="72"/>
  <c r="E158" i="72" s="1"/>
  <c r="L157" i="72"/>
  <c r="I157" i="72"/>
  <c r="H157" i="72"/>
  <c r="N157" i="72"/>
  <c r="D157" i="72"/>
  <c r="K157" i="72"/>
  <c r="O156" i="72"/>
  <c r="J156" i="72"/>
  <c r="M156" i="72" s="1"/>
  <c r="E59" i="41"/>
  <c r="L122" i="41"/>
  <c r="G83" i="73"/>
  <c r="D41" i="44"/>
  <c r="J131" i="72" s="1"/>
  <c r="H194" i="119" s="1"/>
  <c r="P16" i="79"/>
  <c r="Q16" i="79"/>
  <c r="O18" i="79"/>
  <c r="P17" i="79"/>
  <c r="Q17" i="79"/>
  <c r="AD190" i="119"/>
  <c r="AC190" i="119"/>
  <c r="X190" i="119"/>
  <c r="Y190" i="119"/>
  <c r="Z190" i="119"/>
  <c r="W190" i="119"/>
  <c r="W189" i="119"/>
  <c r="Z21" i="115"/>
  <c r="BN20" i="115"/>
  <c r="AR20" i="115"/>
  <c r="BG20" i="115" s="1"/>
  <c r="K224" i="72"/>
  <c r="L222" i="72"/>
  <c r="C35" i="114"/>
  <c r="B36" i="114"/>
  <c r="D35" i="114"/>
  <c r="E35" i="114"/>
  <c r="L117" i="72"/>
  <c r="T116" i="72"/>
  <c r="V17" i="79"/>
  <c r="W17" i="79"/>
  <c r="F114" i="73"/>
  <c r="G114" i="73" s="1"/>
  <c r="H114" i="73" s="1"/>
  <c r="I114" i="73" s="1"/>
  <c r="J114" i="73" s="1"/>
  <c r="K114" i="73" s="1"/>
  <c r="D125" i="73" s="1"/>
  <c r="E125" i="73" s="1"/>
  <c r="F125" i="73"/>
  <c r="G125" i="73" s="1"/>
  <c r="H125" i="73" s="1"/>
  <c r="I125" i="73" s="1"/>
  <c r="J125" i="73" s="1"/>
  <c r="K125" i="73" s="1"/>
  <c r="Q189" i="119"/>
  <c r="P189" i="119"/>
  <c r="Z189" i="119" s="1"/>
  <c r="O189" i="119"/>
  <c r="Y189" i="119" s="1"/>
  <c r="N189" i="119"/>
  <c r="I106" i="72"/>
  <c r="J106" i="72"/>
  <c r="J111" i="72" s="1"/>
  <c r="J118" i="72" s="1"/>
  <c r="K106" i="72"/>
  <c r="K111" i="72" s="1"/>
  <c r="K118" i="72" s="1"/>
  <c r="L106" i="72"/>
  <c r="L111" i="72" s="1"/>
  <c r="P106" i="72"/>
  <c r="C98" i="119"/>
  <c r="H236" i="72"/>
  <c r="E23" i="73"/>
  <c r="K18" i="79"/>
  <c r="J18" i="79"/>
  <c r="I19" i="79"/>
  <c r="U18" i="79"/>
  <c r="N10" i="115"/>
  <c r="L51" i="115"/>
  <c r="L53" i="115" s="1"/>
  <c r="E17" i="79"/>
  <c r="D17" i="79" s="1"/>
  <c r="C18" i="79"/>
  <c r="T104" i="72"/>
  <c r="AD189" i="119"/>
  <c r="AC189" i="119"/>
  <c r="V16" i="79"/>
  <c r="W16" i="79"/>
  <c r="S189" i="119"/>
  <c r="X189" i="119" s="1"/>
  <c r="Z23" i="72" l="1"/>
  <c r="AA23" i="72"/>
  <c r="AB22" i="72"/>
  <c r="Y31" i="72"/>
  <c r="I37" i="97"/>
  <c r="X55" i="115"/>
  <c r="BC5" i="115" s="1"/>
  <c r="AY5" i="115"/>
  <c r="F187" i="119"/>
  <c r="E187" i="119"/>
  <c r="AD187" i="119" s="1"/>
  <c r="G187" i="119"/>
  <c r="J157" i="72"/>
  <c r="M157" i="72" s="1"/>
  <c r="AE157" i="72"/>
  <c r="B25" i="74"/>
  <c r="O157" i="72"/>
  <c r="H158" i="72"/>
  <c r="I158" i="72"/>
  <c r="N158" i="72"/>
  <c r="F158" i="72"/>
  <c r="L158" i="72"/>
  <c r="A159" i="72"/>
  <c r="E159" i="72" s="1"/>
  <c r="K158" i="72"/>
  <c r="D158" i="72"/>
  <c r="AE158" i="72" s="1"/>
  <c r="G87" i="73"/>
  <c r="G107" i="73" s="1"/>
  <c r="J116" i="73"/>
  <c r="K116" i="73" s="1"/>
  <c r="D127" i="73" s="1"/>
  <c r="E127" i="73" s="1"/>
  <c r="F127" i="73" s="1"/>
  <c r="G127" i="73" s="1"/>
  <c r="H127" i="73" s="1"/>
  <c r="I127" i="73" s="1"/>
  <c r="J127" i="73" s="1"/>
  <c r="K127" i="73" s="1"/>
  <c r="C155" i="119"/>
  <c r="H155" i="119" s="1"/>
  <c r="E67" i="41"/>
  <c r="C159" i="119" s="1"/>
  <c r="P44" i="72"/>
  <c r="I20" i="122" s="1"/>
  <c r="F41" i="44"/>
  <c r="F58" i="44" s="1"/>
  <c r="F61" i="44" s="1"/>
  <c r="N88" i="41" s="1"/>
  <c r="K131" i="72"/>
  <c r="H131" i="72"/>
  <c r="T88" i="72"/>
  <c r="G194" i="119" s="1"/>
  <c r="P18" i="79"/>
  <c r="O19" i="79"/>
  <c r="Q18" i="79"/>
  <c r="BN21" i="115"/>
  <c r="AR21" i="115"/>
  <c r="BG21" i="115" s="1"/>
  <c r="Z22" i="115"/>
  <c r="E36" i="114"/>
  <c r="C36" i="114"/>
  <c r="D36" i="114"/>
  <c r="B37" i="114"/>
  <c r="L224" i="72"/>
  <c r="M222" i="72"/>
  <c r="L118" i="72"/>
  <c r="K19" i="79"/>
  <c r="J19" i="79" s="1"/>
  <c r="I20" i="79"/>
  <c r="E18" i="79"/>
  <c r="D18" i="79" s="1"/>
  <c r="C19" i="79"/>
  <c r="V18" i="79"/>
  <c r="W18" i="79"/>
  <c r="U19" i="79"/>
  <c r="I111" i="72"/>
  <c r="I118" i="72" s="1"/>
  <c r="G106" i="72"/>
  <c r="I236" i="72"/>
  <c r="K97" i="119"/>
  <c r="T10" i="115"/>
  <c r="T51" i="115" s="1"/>
  <c r="T53" i="115" s="1"/>
  <c r="N51" i="115"/>
  <c r="N53" i="115" s="1"/>
  <c r="Z24" i="72" l="1"/>
  <c r="AA24" i="72"/>
  <c r="AB23" i="72"/>
  <c r="Y32" i="72"/>
  <c r="AS15" i="115"/>
  <c r="AS23" i="115"/>
  <c r="AS28" i="115"/>
  <c r="AS19" i="115"/>
  <c r="AS45" i="115"/>
  <c r="AS35" i="115"/>
  <c r="AS32" i="115"/>
  <c r="AS25" i="115"/>
  <c r="AS17" i="115"/>
  <c r="AS43" i="115"/>
  <c r="AS40" i="115"/>
  <c r="AS37" i="115"/>
  <c r="AS36" i="115"/>
  <c r="AS24" i="115"/>
  <c r="AS14" i="115"/>
  <c r="AS41" i="115"/>
  <c r="AS20" i="115"/>
  <c r="AS33" i="115"/>
  <c r="AS18" i="115"/>
  <c r="AS16" i="115"/>
  <c r="AS29" i="115"/>
  <c r="AS26" i="115"/>
  <c r="AS46" i="115"/>
  <c r="AS44" i="115"/>
  <c r="AS22" i="115"/>
  <c r="AS31" i="115"/>
  <c r="AS34" i="115"/>
  <c r="AS42" i="115"/>
  <c r="AS47" i="115"/>
  <c r="AS21" i="115"/>
  <c r="AS39" i="115"/>
  <c r="AS30" i="115"/>
  <c r="AS38" i="115"/>
  <c r="AS27" i="115"/>
  <c r="AS48" i="115"/>
  <c r="AW32" i="115"/>
  <c r="BA32" i="115" s="1"/>
  <c r="AW28" i="115"/>
  <c r="BA28" i="115" s="1"/>
  <c r="AW34" i="115"/>
  <c r="BA34" i="115" s="1"/>
  <c r="AW27" i="115"/>
  <c r="BA27" i="115" s="1"/>
  <c r="AW19" i="115"/>
  <c r="BA19" i="115" s="1"/>
  <c r="AW22" i="115"/>
  <c r="BA22" i="115" s="1"/>
  <c r="AW16" i="115"/>
  <c r="BA16" i="115" s="1"/>
  <c r="AW33" i="115"/>
  <c r="BA33" i="115" s="1"/>
  <c r="AW24" i="115"/>
  <c r="BA24" i="115" s="1"/>
  <c r="AW35" i="115"/>
  <c r="BA35" i="115" s="1"/>
  <c r="AW45" i="115"/>
  <c r="BA45" i="115" s="1"/>
  <c r="AW30" i="115"/>
  <c r="BA30" i="115" s="1"/>
  <c r="AW40" i="115"/>
  <c r="BA40" i="115" s="1"/>
  <c r="AW14" i="115"/>
  <c r="BA14" i="115" s="1"/>
  <c r="AW36" i="115"/>
  <c r="BA36" i="115" s="1"/>
  <c r="AW17" i="115"/>
  <c r="BA17" i="115" s="1"/>
  <c r="AW47" i="115"/>
  <c r="BA47" i="115" s="1"/>
  <c r="AW15" i="115"/>
  <c r="BA15" i="115" s="1"/>
  <c r="AW46" i="115"/>
  <c r="BA46" i="115" s="1"/>
  <c r="AW20" i="115"/>
  <c r="BA20" i="115" s="1"/>
  <c r="AW23" i="115"/>
  <c r="BA23" i="115" s="1"/>
  <c r="AW38" i="115"/>
  <c r="BA38" i="115" s="1"/>
  <c r="AW39" i="115"/>
  <c r="BA39" i="115" s="1"/>
  <c r="AW21" i="115"/>
  <c r="BA21" i="115" s="1"/>
  <c r="AW41" i="115"/>
  <c r="BA41" i="115" s="1"/>
  <c r="AW37" i="115"/>
  <c r="BA37" i="115" s="1"/>
  <c r="AW42" i="115"/>
  <c r="BA42" i="115" s="1"/>
  <c r="AW18" i="115"/>
  <c r="BA18" i="115" s="1"/>
  <c r="AW25" i="115"/>
  <c r="BA25" i="115" s="1"/>
  <c r="AW29" i="115"/>
  <c r="BA29" i="115" s="1"/>
  <c r="AW26" i="115"/>
  <c r="BA26" i="115" s="1"/>
  <c r="AW44" i="115"/>
  <c r="BA44" i="115" s="1"/>
  <c r="AW43" i="115"/>
  <c r="BA43" i="115" s="1"/>
  <c r="AW31" i="115"/>
  <c r="BA31" i="115" s="1"/>
  <c r="AW48" i="115"/>
  <c r="BA48" i="115" s="1"/>
  <c r="J158" i="72"/>
  <c r="M158" i="72" s="1"/>
  <c r="H159" i="72"/>
  <c r="K159" i="72"/>
  <c r="A160" i="72"/>
  <c r="E160" i="72" s="1"/>
  <c r="I159" i="72"/>
  <c r="D159" i="72"/>
  <c r="AE159" i="72" s="1"/>
  <c r="L159" i="72"/>
  <c r="F159" i="72"/>
  <c r="N159" i="72"/>
  <c r="O158" i="72"/>
  <c r="D37" i="115"/>
  <c r="H37" i="115" s="1"/>
  <c r="C108" i="119"/>
  <c r="H44" i="72"/>
  <c r="E116" i="73"/>
  <c r="F116" i="73" s="1"/>
  <c r="G116" i="73" s="1"/>
  <c r="H116" i="73" s="1"/>
  <c r="I116" i="73"/>
  <c r="D116" i="73"/>
  <c r="C207" i="119"/>
  <c r="I131" i="72"/>
  <c r="E88" i="41"/>
  <c r="H96" i="73"/>
  <c r="H105" i="73" s="1"/>
  <c r="H107" i="73" s="1"/>
  <c r="P19" i="79"/>
  <c r="O20" i="79"/>
  <c r="Q19" i="79"/>
  <c r="Z23" i="115"/>
  <c r="AR22" i="115"/>
  <c r="BG22" i="115" s="1"/>
  <c r="BN22" i="115"/>
  <c r="M224" i="72"/>
  <c r="P222" i="72"/>
  <c r="Q222" i="72" s="1"/>
  <c r="C37" i="114"/>
  <c r="E37" i="114"/>
  <c r="B38" i="114"/>
  <c r="D37" i="114"/>
  <c r="K20" i="79"/>
  <c r="J20" i="79"/>
  <c r="I21" i="79"/>
  <c r="T106" i="72"/>
  <c r="J236" i="72"/>
  <c r="E19" i="79"/>
  <c r="D19" i="79" s="1"/>
  <c r="C20" i="79"/>
  <c r="W19" i="79"/>
  <c r="V19" i="79"/>
  <c r="U20" i="79"/>
  <c r="T55" i="115"/>
  <c r="AY4" i="115"/>
  <c r="Z25" i="72" l="1"/>
  <c r="AA25" i="72"/>
  <c r="AB24" i="72"/>
  <c r="Y33" i="72"/>
  <c r="AS49" i="115"/>
  <c r="BA49" i="115"/>
  <c r="AW49" i="115"/>
  <c r="K160" i="72"/>
  <c r="F160" i="72"/>
  <c r="D160" i="72"/>
  <c r="AE160" i="72" s="1"/>
  <c r="N160" i="72"/>
  <c r="A161" i="72"/>
  <c r="E161" i="72" s="1"/>
  <c r="H160" i="72"/>
  <c r="L160" i="72"/>
  <c r="I160" i="72"/>
  <c r="J159" i="72"/>
  <c r="M159" i="72" s="1"/>
  <c r="O159" i="72"/>
  <c r="H48" i="72"/>
  <c r="D83" i="73"/>
  <c r="D87" i="73" s="1"/>
  <c r="K108" i="119"/>
  <c r="H108" i="119"/>
  <c r="G241" i="72"/>
  <c r="M241" i="72" s="1"/>
  <c r="M131" i="72"/>
  <c r="P57" i="72"/>
  <c r="I16" i="122" s="1"/>
  <c r="I23" i="122" s="1"/>
  <c r="E98" i="41"/>
  <c r="C166" i="119"/>
  <c r="H166" i="119" s="1"/>
  <c r="H176" i="119" s="1"/>
  <c r="D131" i="72"/>
  <c r="D132" i="72" s="1"/>
  <c r="D133" i="72" s="1"/>
  <c r="D134" i="72" s="1"/>
  <c r="D135" i="72" s="1"/>
  <c r="D136" i="72" s="1"/>
  <c r="D137" i="72" s="1"/>
  <c r="D138" i="72" s="1"/>
  <c r="D139" i="72" s="1"/>
  <c r="D140" i="72" s="1"/>
  <c r="D141" i="72" s="1"/>
  <c r="V125" i="72"/>
  <c r="V129" i="72" s="1"/>
  <c r="V133" i="72" s="1"/>
  <c r="AF194" i="119"/>
  <c r="M194" i="119"/>
  <c r="S194" i="119" s="1"/>
  <c r="O21" i="79"/>
  <c r="P20" i="79"/>
  <c r="Q20" i="79"/>
  <c r="AR23" i="115"/>
  <c r="BG23" i="115" s="1"/>
  <c r="Z24" i="115"/>
  <c r="BN23" i="115"/>
  <c r="B39" i="114"/>
  <c r="E38" i="114"/>
  <c r="C38" i="114"/>
  <c r="D38" i="114"/>
  <c r="P224" i="72"/>
  <c r="R222" i="72"/>
  <c r="J21" i="79"/>
  <c r="K21" i="79"/>
  <c r="I22" i="79"/>
  <c r="K236" i="72"/>
  <c r="E20" i="79"/>
  <c r="D20" i="79" s="1"/>
  <c r="C21" i="79"/>
  <c r="W20" i="79"/>
  <c r="V20" i="79"/>
  <c r="U21" i="79"/>
  <c r="BC30" i="115"/>
  <c r="BC15" i="115"/>
  <c r="BC17" i="115"/>
  <c r="BC27" i="115"/>
  <c r="BC28" i="115"/>
  <c r="BC38" i="115"/>
  <c r="BC46" i="115"/>
  <c r="BC45" i="115"/>
  <c r="AU34" i="115"/>
  <c r="AU15" i="115"/>
  <c r="AU26" i="115"/>
  <c r="AU22" i="115"/>
  <c r="AU35" i="115"/>
  <c r="AU18" i="115"/>
  <c r="AU38" i="115"/>
  <c r="AU30" i="115"/>
  <c r="AU40" i="115"/>
  <c r="AU24" i="115"/>
  <c r="AU19" i="115"/>
  <c r="AU32" i="115"/>
  <c r="AU46" i="115"/>
  <c r="AU20" i="115"/>
  <c r="BC24" i="115"/>
  <c r="BC25" i="115"/>
  <c r="BC16" i="115"/>
  <c r="BC35" i="115"/>
  <c r="BC36" i="115"/>
  <c r="BC18" i="115"/>
  <c r="BC37" i="115"/>
  <c r="BC44" i="115"/>
  <c r="BC48" i="115"/>
  <c r="AU43" i="115"/>
  <c r="AU29" i="115"/>
  <c r="AU21" i="115"/>
  <c r="AU47" i="115"/>
  <c r="BC40" i="115"/>
  <c r="BC33" i="115"/>
  <c r="BC29" i="115"/>
  <c r="BC47" i="115"/>
  <c r="BC34" i="115"/>
  <c r="BC21" i="115"/>
  <c r="BC39" i="115"/>
  <c r="BC41" i="115"/>
  <c r="AU17" i="115"/>
  <c r="AU27" i="115"/>
  <c r="AU33" i="115"/>
  <c r="AU28" i="115"/>
  <c r="BC31" i="115"/>
  <c r="BC42" i="115"/>
  <c r="AU41" i="115"/>
  <c r="BC32" i="115"/>
  <c r="AU14" i="115"/>
  <c r="AU48" i="115"/>
  <c r="BC23" i="115"/>
  <c r="BC14" i="115"/>
  <c r="AU23" i="115"/>
  <c r="AY6" i="115"/>
  <c r="BC26" i="115"/>
  <c r="AU36" i="115"/>
  <c r="AU37" i="115"/>
  <c r="BC22" i="115"/>
  <c r="AU44" i="115"/>
  <c r="AU39" i="115"/>
  <c r="BC19" i="115"/>
  <c r="AU42" i="115"/>
  <c r="AU45" i="115"/>
  <c r="BC20" i="115"/>
  <c r="BC43" i="115"/>
  <c r="AU16" i="115"/>
  <c r="AU25" i="115"/>
  <c r="AU31" i="115"/>
  <c r="T56" i="115"/>
  <c r="BC4" i="115"/>
  <c r="Z26" i="72" l="1"/>
  <c r="AB25" i="72"/>
  <c r="AA26" i="72"/>
  <c r="Y34" i="72"/>
  <c r="H241" i="72"/>
  <c r="H242" i="72" s="1"/>
  <c r="G242" i="72"/>
  <c r="L241" i="72"/>
  <c r="J160" i="72"/>
  <c r="M160" i="72" s="1"/>
  <c r="H161" i="72"/>
  <c r="A162" i="72"/>
  <c r="E162" i="72" s="1"/>
  <c r="K161" i="72"/>
  <c r="F161" i="72"/>
  <c r="D161" i="72"/>
  <c r="AE161" i="72" s="1"/>
  <c r="L161" i="72"/>
  <c r="N161" i="72"/>
  <c r="I161" i="72"/>
  <c r="O160" i="72"/>
  <c r="P48" i="72"/>
  <c r="C112" i="119" s="1"/>
  <c r="G108" i="72"/>
  <c r="P194" i="119"/>
  <c r="I241" i="72"/>
  <c r="P131" i="72"/>
  <c r="Q131" i="72" s="1"/>
  <c r="L228" i="72"/>
  <c r="I228" i="72"/>
  <c r="K228" i="72"/>
  <c r="J228" i="72"/>
  <c r="H228" i="72"/>
  <c r="M228" i="72"/>
  <c r="C171" i="119"/>
  <c r="E125" i="41"/>
  <c r="D9" i="89" s="1"/>
  <c r="N194" i="119"/>
  <c r="Q194" i="119"/>
  <c r="V194" i="119"/>
  <c r="O194" i="119"/>
  <c r="H57" i="72"/>
  <c r="C119" i="119"/>
  <c r="H119" i="119" s="1"/>
  <c r="D41" i="115"/>
  <c r="O22" i="79"/>
  <c r="Q21" i="79"/>
  <c r="P21" i="79"/>
  <c r="Z25" i="115"/>
  <c r="AR24" i="115"/>
  <c r="BG24" i="115" s="1"/>
  <c r="BN24" i="115"/>
  <c r="Q224" i="72"/>
  <c r="S222" i="72"/>
  <c r="E39" i="114"/>
  <c r="B40" i="114"/>
  <c r="C39" i="114"/>
  <c r="D39" i="114"/>
  <c r="V21" i="79"/>
  <c r="W21" i="79"/>
  <c r="U22" i="79"/>
  <c r="BC49" i="115"/>
  <c r="BA50" i="115" s="1"/>
  <c r="E21" i="79"/>
  <c r="D21" i="79" s="1"/>
  <c r="C22" i="79"/>
  <c r="AU49" i="115"/>
  <c r="AY31" i="115"/>
  <c r="AY26" i="115"/>
  <c r="AY19" i="115"/>
  <c r="AY32" i="115"/>
  <c r="AY22" i="115"/>
  <c r="AY20" i="115"/>
  <c r="AY23" i="115"/>
  <c r="AY43" i="115"/>
  <c r="AY42" i="115"/>
  <c r="AY24" i="115"/>
  <c r="AY25" i="115"/>
  <c r="AY16" i="115"/>
  <c r="AY35" i="115"/>
  <c r="AY36" i="115"/>
  <c r="AY18" i="115"/>
  <c r="AY37" i="115"/>
  <c r="AY44" i="115"/>
  <c r="AY48" i="115"/>
  <c r="BC6" i="115"/>
  <c r="AY14" i="115"/>
  <c r="AY17" i="115"/>
  <c r="AY21" i="115"/>
  <c r="AY40" i="115"/>
  <c r="AY38" i="115"/>
  <c r="AY30" i="115"/>
  <c r="AY47" i="115"/>
  <c r="AY27" i="115"/>
  <c r="AY39" i="115"/>
  <c r="AY33" i="115"/>
  <c r="AY46" i="115"/>
  <c r="AY28" i="115"/>
  <c r="AY41" i="115"/>
  <c r="AY34" i="115"/>
  <c r="AY45" i="115"/>
  <c r="AY15" i="115"/>
  <c r="AY29" i="115"/>
  <c r="L236" i="72"/>
  <c r="K22" i="79"/>
  <c r="J22" i="79" s="1"/>
  <c r="I23" i="79"/>
  <c r="Z27" i="72" l="1"/>
  <c r="AB26" i="72"/>
  <c r="AA27" i="72"/>
  <c r="Y35" i="72"/>
  <c r="O161" i="72"/>
  <c r="N162" i="72"/>
  <c r="H162" i="72"/>
  <c r="K162" i="72"/>
  <c r="L162" i="72"/>
  <c r="D162" i="72"/>
  <c r="I162" i="72"/>
  <c r="A163" i="72"/>
  <c r="E163" i="72" s="1"/>
  <c r="F162" i="72"/>
  <c r="J161" i="72"/>
  <c r="M161" i="72" s="1"/>
  <c r="T108" i="72"/>
  <c r="G111" i="72"/>
  <c r="G118" i="72" s="1"/>
  <c r="D112" i="73"/>
  <c r="J241" i="72"/>
  <c r="I242" i="72"/>
  <c r="E112" i="73" s="1"/>
  <c r="AE194" i="119"/>
  <c r="AD194" i="119"/>
  <c r="X194" i="119"/>
  <c r="AC194" i="119"/>
  <c r="W194" i="119"/>
  <c r="Y194" i="119"/>
  <c r="Z194" i="119"/>
  <c r="I209" i="72"/>
  <c r="M96" i="73" s="1"/>
  <c r="G252" i="72"/>
  <c r="D96" i="73"/>
  <c r="D105" i="73" s="1"/>
  <c r="D107" i="73" s="1"/>
  <c r="F32" i="107"/>
  <c r="H66" i="72"/>
  <c r="P110" i="72"/>
  <c r="T110" i="72" s="1"/>
  <c r="H41" i="115"/>
  <c r="H51" i="115" s="1"/>
  <c r="D51" i="115"/>
  <c r="D19" i="89"/>
  <c r="D12" i="89"/>
  <c r="L269" i="72"/>
  <c r="I269" i="72"/>
  <c r="S228" i="72"/>
  <c r="R228" i="72"/>
  <c r="K269" i="72"/>
  <c r="P228" i="72"/>
  <c r="H269" i="72"/>
  <c r="J269" i="72"/>
  <c r="Q228" i="72"/>
  <c r="T228" i="72"/>
  <c r="P22" i="79"/>
  <c r="Q22" i="79"/>
  <c r="O23" i="79"/>
  <c r="Z26" i="115"/>
  <c r="AR25" i="115"/>
  <c r="BG25" i="115" s="1"/>
  <c r="BN25" i="115"/>
  <c r="D40" i="114"/>
  <c r="B41" i="114"/>
  <c r="C40" i="114"/>
  <c r="E40" i="114"/>
  <c r="R224" i="72"/>
  <c r="T222" i="72"/>
  <c r="E22" i="79"/>
  <c r="D22" i="79" s="1"/>
  <c r="C23" i="79"/>
  <c r="M236" i="72"/>
  <c r="AY49" i="115"/>
  <c r="V22" i="79"/>
  <c r="W22" i="79"/>
  <c r="U23" i="79"/>
  <c r="K23" i="79"/>
  <c r="J23" i="79" s="1"/>
  <c r="I24" i="79"/>
  <c r="Z28" i="72" l="1"/>
  <c r="AB27" i="72"/>
  <c r="AA28" i="72"/>
  <c r="Y36" i="72"/>
  <c r="J162" i="72"/>
  <c r="M162" i="72" s="1"/>
  <c r="O162" i="72"/>
  <c r="AE162" i="72"/>
  <c r="B26" i="74"/>
  <c r="D163" i="72"/>
  <c r="AE163" i="72" s="1"/>
  <c r="F163" i="72"/>
  <c r="N163" i="72"/>
  <c r="H163" i="72"/>
  <c r="L163" i="72"/>
  <c r="K163" i="72"/>
  <c r="A164" i="72"/>
  <c r="E164" i="72" s="1"/>
  <c r="I163" i="72"/>
  <c r="D22" i="89"/>
  <c r="D41" i="89" s="1"/>
  <c r="D46" i="89" s="1"/>
  <c r="K241" i="72"/>
  <c r="J242" i="72"/>
  <c r="F112" i="73" s="1"/>
  <c r="F25" i="115"/>
  <c r="F27" i="115" s="1"/>
  <c r="F35" i="115" s="1"/>
  <c r="BI8" i="115"/>
  <c r="H310" i="72"/>
  <c r="K310" i="72"/>
  <c r="Q310" i="72"/>
  <c r="M269" i="72"/>
  <c r="M310" i="72"/>
  <c r="P269" i="72"/>
  <c r="R269" i="72"/>
  <c r="I310" i="72"/>
  <c r="T269" i="72"/>
  <c r="P310" i="72"/>
  <c r="J310" i="72"/>
  <c r="S269" i="72"/>
  <c r="Q269" i="72"/>
  <c r="L310" i="72"/>
  <c r="R310" i="72"/>
  <c r="P66" i="72"/>
  <c r="C128" i="119" s="1"/>
  <c r="H68" i="72"/>
  <c r="Q23" i="79"/>
  <c r="P23" i="79"/>
  <c r="O24" i="79"/>
  <c r="BN26" i="115"/>
  <c r="Z27" i="115"/>
  <c r="AR26" i="115"/>
  <c r="BG26" i="115" s="1"/>
  <c r="S224" i="72"/>
  <c r="H263" i="72"/>
  <c r="T224" i="72"/>
  <c r="C41" i="114"/>
  <c r="D41" i="114"/>
  <c r="E41" i="114"/>
  <c r="B42" i="114"/>
  <c r="P236" i="72"/>
  <c r="E23" i="79"/>
  <c r="D23" i="79" s="1"/>
  <c r="C24" i="79"/>
  <c r="K24" i="79"/>
  <c r="J24" i="79" s="1"/>
  <c r="I25" i="79"/>
  <c r="W23" i="79"/>
  <c r="V23" i="79"/>
  <c r="U24" i="79"/>
  <c r="Z29" i="72" l="1"/>
  <c r="AB28" i="72"/>
  <c r="AA29" i="72"/>
  <c r="Y37" i="72"/>
  <c r="O163" i="72"/>
  <c r="I164" i="72"/>
  <c r="H164" i="72"/>
  <c r="L164" i="72"/>
  <c r="K164" i="72"/>
  <c r="D164" i="72"/>
  <c r="AE164" i="72" s="1"/>
  <c r="N164" i="72"/>
  <c r="F164" i="72"/>
  <c r="A165" i="72"/>
  <c r="E165" i="72" s="1"/>
  <c r="J163" i="72"/>
  <c r="M163" i="72" s="1"/>
  <c r="D29" i="89"/>
  <c r="D34" i="89" s="1"/>
  <c r="D49" i="89" s="1"/>
  <c r="Q50" i="89" s="1"/>
  <c r="C55" i="44" s="1"/>
  <c r="K242" i="72"/>
  <c r="G112" i="73" s="1"/>
  <c r="P68" i="72"/>
  <c r="V62" i="72"/>
  <c r="O25" i="79"/>
  <c r="P24" i="79"/>
  <c r="Q24" i="79"/>
  <c r="AR27" i="115"/>
  <c r="BG27" i="115" s="1"/>
  <c r="BN27" i="115"/>
  <c r="Z28" i="115"/>
  <c r="B43" i="114"/>
  <c r="C42" i="114"/>
  <c r="D42" i="114"/>
  <c r="E42" i="114"/>
  <c r="I263" i="72"/>
  <c r="H265" i="72"/>
  <c r="Q236" i="72"/>
  <c r="E24" i="79"/>
  <c r="D24" i="79" s="1"/>
  <c r="C25" i="79"/>
  <c r="K25" i="79"/>
  <c r="J25" i="79" s="1"/>
  <c r="I26" i="79"/>
  <c r="W24" i="79"/>
  <c r="V24" i="79"/>
  <c r="U25" i="79"/>
  <c r="Z30" i="72" l="1"/>
  <c r="AA30" i="72"/>
  <c r="AB29" i="72"/>
  <c r="Y38" i="72"/>
  <c r="I12" i="122"/>
  <c r="I28" i="122" s="1"/>
  <c r="C58" i="44"/>
  <c r="J164" i="72"/>
  <c r="M164" i="72" s="1"/>
  <c r="F165" i="72"/>
  <c r="K165" i="72"/>
  <c r="L165" i="72"/>
  <c r="I165" i="72"/>
  <c r="H165" i="72"/>
  <c r="N165" i="72"/>
  <c r="D165" i="72"/>
  <c r="AE165" i="72" s="1"/>
  <c r="A166" i="72"/>
  <c r="E166" i="72" s="1"/>
  <c r="O164" i="72"/>
  <c r="BI2" i="115"/>
  <c r="L242" i="72"/>
  <c r="V63" i="72"/>
  <c r="V67" i="72" s="1"/>
  <c r="V65" i="72"/>
  <c r="W62" i="72"/>
  <c r="I145" i="72"/>
  <c r="F27" i="107"/>
  <c r="C129" i="119"/>
  <c r="Q25" i="79"/>
  <c r="O26" i="79"/>
  <c r="P25" i="79"/>
  <c r="AR28" i="115"/>
  <c r="BG28" i="115" s="1"/>
  <c r="BN28" i="115"/>
  <c r="Z29" i="115"/>
  <c r="J263" i="72"/>
  <c r="I265" i="72"/>
  <c r="D43" i="114"/>
  <c r="C43" i="114"/>
  <c r="E43" i="114"/>
  <c r="B44" i="114"/>
  <c r="W25" i="79"/>
  <c r="V25" i="79"/>
  <c r="U26" i="79"/>
  <c r="E25" i="79"/>
  <c r="D25" i="79" s="1"/>
  <c r="C26" i="79"/>
  <c r="K26" i="79"/>
  <c r="J26" i="79" s="1"/>
  <c r="I27" i="79"/>
  <c r="R236" i="72"/>
  <c r="Z31" i="72" l="1"/>
  <c r="AA31" i="72"/>
  <c r="AB30" i="72"/>
  <c r="Y39" i="72"/>
  <c r="I51" i="122"/>
  <c r="I42" i="122"/>
  <c r="I36" i="122"/>
  <c r="I44" i="122"/>
  <c r="I43" i="122"/>
  <c r="I35" i="122"/>
  <c r="I56" i="122" s="1"/>
  <c r="I58" i="122" s="1"/>
  <c r="I72" i="122" s="1"/>
  <c r="I75" i="122" s="1"/>
  <c r="I54" i="122"/>
  <c r="I49" i="122"/>
  <c r="I52" i="122"/>
  <c r="I45" i="122"/>
  <c r="I53" i="122"/>
  <c r="I48" i="122"/>
  <c r="I40" i="122"/>
  <c r="I29" i="122"/>
  <c r="I31" i="122"/>
  <c r="I47" i="122"/>
  <c r="I41" i="122"/>
  <c r="I46" i="122"/>
  <c r="I50" i="122"/>
  <c r="I37" i="122"/>
  <c r="I39" i="122"/>
  <c r="I38" i="122"/>
  <c r="J165" i="72"/>
  <c r="M165" i="72" s="1"/>
  <c r="O165" i="72"/>
  <c r="A167" i="72"/>
  <c r="E167" i="72" s="1"/>
  <c r="K166" i="72"/>
  <c r="N166" i="72"/>
  <c r="I166" i="72"/>
  <c r="H166" i="72"/>
  <c r="L166" i="72"/>
  <c r="F166" i="72"/>
  <c r="D166" i="72"/>
  <c r="AE166" i="72" s="1"/>
  <c r="H112" i="73"/>
  <c r="P241" i="72"/>
  <c r="M242" i="72"/>
  <c r="G127" i="41"/>
  <c r="W64" i="72"/>
  <c r="V69" i="72"/>
  <c r="U69" i="72" s="1"/>
  <c r="F34" i="107"/>
  <c r="W66" i="72"/>
  <c r="O27" i="79"/>
  <c r="P26" i="79"/>
  <c r="Q26" i="79"/>
  <c r="Z30" i="115"/>
  <c r="AR29" i="115"/>
  <c r="BG29" i="115" s="1"/>
  <c r="BN29" i="115"/>
  <c r="B45" i="114"/>
  <c r="D44" i="114"/>
  <c r="C44" i="114"/>
  <c r="E44" i="114"/>
  <c r="J265" i="72"/>
  <c r="K263" i="72"/>
  <c r="S236" i="72"/>
  <c r="K27" i="79"/>
  <c r="J27" i="79" s="1"/>
  <c r="I28" i="79"/>
  <c r="E26" i="79"/>
  <c r="D26" i="79" s="1"/>
  <c r="C27" i="79"/>
  <c r="W26" i="79"/>
  <c r="V26" i="79"/>
  <c r="U27" i="79"/>
  <c r="Z32" i="72" l="1"/>
  <c r="AA32" i="72"/>
  <c r="AB31" i="72"/>
  <c r="Y40" i="72"/>
  <c r="J166" i="72"/>
  <c r="M166" i="72" s="1"/>
  <c r="K167" i="72"/>
  <c r="H167" i="72"/>
  <c r="L167" i="72"/>
  <c r="I167" i="72"/>
  <c r="F167" i="72"/>
  <c r="D167" i="72"/>
  <c r="A168" i="72"/>
  <c r="E168" i="72" s="1"/>
  <c r="N167" i="72"/>
  <c r="O166" i="72"/>
  <c r="Q241" i="72"/>
  <c r="P242" i="72"/>
  <c r="I112" i="73"/>
  <c r="V68" i="72"/>
  <c r="U68" i="72" s="1"/>
  <c r="N127" i="41"/>
  <c r="L127" i="41"/>
  <c r="R69" i="72"/>
  <c r="P27" i="79"/>
  <c r="O28" i="79"/>
  <c r="Q27" i="79"/>
  <c r="BN30" i="115"/>
  <c r="Z31" i="115"/>
  <c r="AR30" i="115"/>
  <c r="BG30" i="115" s="1"/>
  <c r="L263" i="72"/>
  <c r="K265" i="72"/>
  <c r="C45" i="114"/>
  <c r="B46" i="114"/>
  <c r="D45" i="114"/>
  <c r="E45" i="114"/>
  <c r="T236" i="72"/>
  <c r="W27" i="79"/>
  <c r="V27" i="79"/>
  <c r="U28" i="79"/>
  <c r="K28" i="79"/>
  <c r="J28" i="79" s="1"/>
  <c r="I29" i="79"/>
  <c r="E27" i="79"/>
  <c r="D27" i="79" s="1"/>
  <c r="C28" i="79"/>
  <c r="Z33" i="72" l="1"/>
  <c r="AB32" i="72"/>
  <c r="AA33" i="72"/>
  <c r="Y41" i="72"/>
  <c r="J167" i="72"/>
  <c r="M167" i="72" s="1"/>
  <c r="AE167" i="72"/>
  <c r="B27" i="74"/>
  <c r="L168" i="72"/>
  <c r="K168" i="72"/>
  <c r="D168" i="72"/>
  <c r="AE168" i="72" s="1"/>
  <c r="N168" i="72"/>
  <c r="I168" i="72"/>
  <c r="F168" i="72"/>
  <c r="H168" i="72"/>
  <c r="A169" i="72"/>
  <c r="E169" i="72" s="1"/>
  <c r="O167" i="72"/>
  <c r="R241" i="72"/>
  <c r="Q242" i="72"/>
  <c r="K112" i="73" s="1"/>
  <c r="J112" i="73"/>
  <c r="P28" i="79"/>
  <c r="O29" i="79"/>
  <c r="Q28" i="79"/>
  <c r="Z32" i="115"/>
  <c r="AR31" i="115"/>
  <c r="BG31" i="115" s="1"/>
  <c r="BN31" i="115"/>
  <c r="B47" i="114"/>
  <c r="C46" i="114"/>
  <c r="D46" i="114"/>
  <c r="E46" i="114"/>
  <c r="L265" i="72"/>
  <c r="M263" i="72"/>
  <c r="G277" i="72"/>
  <c r="K29" i="79"/>
  <c r="J29" i="79" s="1"/>
  <c r="I30" i="79"/>
  <c r="E28" i="79"/>
  <c r="D28" i="79" s="1"/>
  <c r="C29" i="79"/>
  <c r="W28" i="79"/>
  <c r="V28" i="79"/>
  <c r="U29" i="79"/>
  <c r="Z34" i="72" l="1"/>
  <c r="AA34" i="72"/>
  <c r="AB33" i="72"/>
  <c r="Y42" i="72"/>
  <c r="J168" i="72"/>
  <c r="M168" i="72" s="1"/>
  <c r="D169" i="72"/>
  <c r="AE169" i="72" s="1"/>
  <c r="A170" i="72"/>
  <c r="E170" i="72" s="1"/>
  <c r="K169" i="72"/>
  <c r="H169" i="72"/>
  <c r="L169" i="72"/>
  <c r="F169" i="72"/>
  <c r="N169" i="72"/>
  <c r="I169" i="72"/>
  <c r="O168" i="72"/>
  <c r="S241" i="72"/>
  <c r="R242" i="72"/>
  <c r="D123" i="73" s="1"/>
  <c r="P29" i="79"/>
  <c r="O30" i="79"/>
  <c r="Q29" i="79"/>
  <c r="Z33" i="115"/>
  <c r="BN32" i="115"/>
  <c r="AR32" i="115"/>
  <c r="BG32" i="115" s="1"/>
  <c r="P263" i="72"/>
  <c r="M265" i="72"/>
  <c r="D47" i="114"/>
  <c r="B48" i="114"/>
  <c r="C47" i="114"/>
  <c r="E47" i="114"/>
  <c r="V29" i="79"/>
  <c r="W29" i="79"/>
  <c r="U30" i="79"/>
  <c r="K30" i="79"/>
  <c r="J30" i="79" s="1"/>
  <c r="I31" i="79"/>
  <c r="E29" i="79"/>
  <c r="D29" i="79" s="1"/>
  <c r="C30" i="79"/>
  <c r="H277" i="72"/>
  <c r="Z35" i="72" l="1"/>
  <c r="AB34" i="72"/>
  <c r="AA35" i="72"/>
  <c r="Y43" i="72"/>
  <c r="O169" i="72"/>
  <c r="J169" i="72"/>
  <c r="M169" i="72" s="1"/>
  <c r="F170" i="72"/>
  <c r="A171" i="72"/>
  <c r="E171" i="72" s="1"/>
  <c r="K170" i="72"/>
  <c r="N170" i="72"/>
  <c r="H170" i="72"/>
  <c r="D170" i="72"/>
  <c r="AE170" i="72" s="1"/>
  <c r="L170" i="72"/>
  <c r="I170" i="72"/>
  <c r="T241" i="72"/>
  <c r="S242" i="72"/>
  <c r="E123" i="73" s="1"/>
  <c r="P30" i="79"/>
  <c r="O31" i="79"/>
  <c r="Q30" i="79"/>
  <c r="BN33" i="115"/>
  <c r="AR33" i="115"/>
  <c r="BG33" i="115" s="1"/>
  <c r="Z34" i="115"/>
  <c r="C48" i="114"/>
  <c r="E48" i="114"/>
  <c r="B49" i="114"/>
  <c r="D48" i="114"/>
  <c r="P265" i="72"/>
  <c r="Q263" i="72"/>
  <c r="J31" i="79"/>
  <c r="K31" i="79"/>
  <c r="I32" i="79"/>
  <c r="I277" i="72"/>
  <c r="W185" i="119"/>
  <c r="E30" i="79"/>
  <c r="D30" i="79" s="1"/>
  <c r="C31" i="79"/>
  <c r="W30" i="79"/>
  <c r="V30" i="79"/>
  <c r="U31" i="79"/>
  <c r="Z36" i="72" l="1"/>
  <c r="AB35" i="72"/>
  <c r="AA36" i="72"/>
  <c r="Y44" i="72"/>
  <c r="Y106" i="72"/>
  <c r="Y107" i="72"/>
  <c r="I171" i="72"/>
  <c r="D171" i="72"/>
  <c r="AE171" i="72" s="1"/>
  <c r="H171" i="72"/>
  <c r="F171" i="72"/>
  <c r="A172" i="72"/>
  <c r="E172" i="72" s="1"/>
  <c r="N171" i="72"/>
  <c r="K171" i="72"/>
  <c r="L171" i="72"/>
  <c r="O170" i="72"/>
  <c r="J170" i="72"/>
  <c r="M170" i="72" s="1"/>
  <c r="G282" i="72"/>
  <c r="T242" i="72"/>
  <c r="F123" i="73" s="1"/>
  <c r="P31" i="79"/>
  <c r="O32" i="79"/>
  <c r="Q31" i="79"/>
  <c r="BN34" i="115"/>
  <c r="AR34" i="115"/>
  <c r="BG34" i="115" s="1"/>
  <c r="Z35" i="115"/>
  <c r="R263" i="72"/>
  <c r="Q265" i="72"/>
  <c r="E49" i="114"/>
  <c r="B50" i="114"/>
  <c r="D49" i="114"/>
  <c r="C49" i="114"/>
  <c r="E31" i="79"/>
  <c r="D31" i="79" s="1"/>
  <c r="C32" i="79"/>
  <c r="K32" i="79"/>
  <c r="J32" i="79" s="1"/>
  <c r="I33" i="79"/>
  <c r="J277" i="72"/>
  <c r="W31" i="79"/>
  <c r="V31" i="79"/>
  <c r="U32" i="79"/>
  <c r="Z37" i="72" l="1"/>
  <c r="AA37" i="72"/>
  <c r="AB36" i="72"/>
  <c r="Y45" i="72"/>
  <c r="AD110" i="72"/>
  <c r="Y108" i="72"/>
  <c r="J171" i="72"/>
  <c r="M171" i="72" s="1"/>
  <c r="D172" i="72"/>
  <c r="L172" i="72"/>
  <c r="N172" i="72"/>
  <c r="K172" i="72"/>
  <c r="I172" i="72"/>
  <c r="A173" i="72"/>
  <c r="H172" i="72"/>
  <c r="F172" i="72"/>
  <c r="O171" i="72"/>
  <c r="M282" i="72"/>
  <c r="H282" i="72"/>
  <c r="S282" i="72"/>
  <c r="T282" i="72"/>
  <c r="I282" i="72"/>
  <c r="Q282" i="72"/>
  <c r="J282" i="72"/>
  <c r="P282" i="72"/>
  <c r="K282" i="72"/>
  <c r="R282" i="72"/>
  <c r="L282" i="72"/>
  <c r="G283" i="72"/>
  <c r="P32" i="79"/>
  <c r="Q32" i="79"/>
  <c r="O33" i="79"/>
  <c r="BN35" i="115"/>
  <c r="Z36" i="115"/>
  <c r="AR35" i="115"/>
  <c r="BG35" i="115" s="1"/>
  <c r="D50" i="114"/>
  <c r="E50" i="114"/>
  <c r="B51" i="114"/>
  <c r="C50" i="114"/>
  <c r="R265" i="72"/>
  <c r="S263" i="72"/>
  <c r="K277" i="72"/>
  <c r="E32" i="79"/>
  <c r="D32" i="79" s="1"/>
  <c r="C33" i="79"/>
  <c r="V32" i="79"/>
  <c r="W32" i="79"/>
  <c r="U33" i="79"/>
  <c r="K33" i="79"/>
  <c r="J33" i="79" s="1"/>
  <c r="I34" i="79"/>
  <c r="Z38" i="72" l="1"/>
  <c r="AA38" i="72"/>
  <c r="AB37" i="72"/>
  <c r="Y46" i="72"/>
  <c r="F44" i="107"/>
  <c r="C225" i="119" s="1"/>
  <c r="I225" i="119" s="1"/>
  <c r="F43" i="107"/>
  <c r="E173" i="72"/>
  <c r="H173" i="72"/>
  <c r="J172" i="72"/>
  <c r="M172" i="72" s="1"/>
  <c r="N173" i="72"/>
  <c r="A174" i="72"/>
  <c r="E174" i="72" s="1"/>
  <c r="D173" i="72"/>
  <c r="AE173" i="72" s="1"/>
  <c r="F173" i="72"/>
  <c r="L173" i="72"/>
  <c r="K173" i="72"/>
  <c r="I173" i="72"/>
  <c r="O172" i="72"/>
  <c r="B28" i="74"/>
  <c r="AE172" i="72"/>
  <c r="H283" i="72"/>
  <c r="Q33" i="79"/>
  <c r="P33" i="79"/>
  <c r="O34" i="79"/>
  <c r="Z37" i="115"/>
  <c r="BN36" i="115"/>
  <c r="AR36" i="115"/>
  <c r="BG36" i="115" s="1"/>
  <c r="S265" i="72"/>
  <c r="T263" i="72"/>
  <c r="B52" i="114"/>
  <c r="E51" i="114"/>
  <c r="C51" i="114"/>
  <c r="D51" i="114"/>
  <c r="W33" i="79"/>
  <c r="V33" i="79"/>
  <c r="U34" i="79"/>
  <c r="E33" i="79"/>
  <c r="D33" i="79" s="1"/>
  <c r="C34" i="79"/>
  <c r="L277" i="72"/>
  <c r="K34" i="79"/>
  <c r="J34" i="79" s="1"/>
  <c r="I35" i="79"/>
  <c r="Z39" i="72" l="1"/>
  <c r="AA39" i="72"/>
  <c r="AB38" i="72"/>
  <c r="C224" i="119"/>
  <c r="I224" i="119" s="1"/>
  <c r="F46" i="107"/>
  <c r="O173" i="72"/>
  <c r="F174" i="72"/>
  <c r="D174" i="72"/>
  <c r="AE174" i="72" s="1"/>
  <c r="N174" i="72"/>
  <c r="A175" i="72"/>
  <c r="E175" i="72" s="1"/>
  <c r="K174" i="72"/>
  <c r="H174" i="72"/>
  <c r="L174" i="72"/>
  <c r="I174" i="72"/>
  <c r="J173" i="72"/>
  <c r="M173" i="72" s="1"/>
  <c r="I283" i="72"/>
  <c r="H123" i="73" s="1"/>
  <c r="G123" i="73"/>
  <c r="Q34" i="79"/>
  <c r="P34" i="79"/>
  <c r="O35" i="79"/>
  <c r="Z38" i="115"/>
  <c r="BN37" i="115"/>
  <c r="AR37" i="115"/>
  <c r="BG37" i="115" s="1"/>
  <c r="C52" i="114"/>
  <c r="B53" i="114"/>
  <c r="D52" i="114"/>
  <c r="E52" i="114"/>
  <c r="H304" i="72"/>
  <c r="T265" i="72"/>
  <c r="W34" i="79"/>
  <c r="V34" i="79"/>
  <c r="U35" i="79"/>
  <c r="M277" i="72"/>
  <c r="K35" i="79"/>
  <c r="J35" i="79" s="1"/>
  <c r="I36" i="79"/>
  <c r="E34" i="79"/>
  <c r="D34" i="79" s="1"/>
  <c r="C35" i="79"/>
  <c r="Z40" i="72" l="1"/>
  <c r="AA40" i="72"/>
  <c r="AB39" i="72"/>
  <c r="A49" i="107"/>
  <c r="C226" i="119"/>
  <c r="I226" i="119" s="1"/>
  <c r="J174" i="72"/>
  <c r="M174" i="72" s="1"/>
  <c r="K175" i="72"/>
  <c r="L175" i="72"/>
  <c r="H175" i="72"/>
  <c r="D175" i="72"/>
  <c r="AE175" i="72" s="1"/>
  <c r="N175" i="72"/>
  <c r="I175" i="72"/>
  <c r="F175" i="72"/>
  <c r="A176" i="72"/>
  <c r="E176" i="72" s="1"/>
  <c r="O174" i="72"/>
  <c r="J283" i="72"/>
  <c r="I123" i="73" s="1"/>
  <c r="Q35" i="79"/>
  <c r="P35" i="79"/>
  <c r="O36" i="79"/>
  <c r="AR38" i="115"/>
  <c r="BG38" i="115" s="1"/>
  <c r="BN38" i="115"/>
  <c r="Z39" i="115"/>
  <c r="H306" i="72"/>
  <c r="I304" i="72"/>
  <c r="C53" i="114"/>
  <c r="B54" i="114"/>
  <c r="E53" i="114"/>
  <c r="D53" i="114"/>
  <c r="V35" i="79"/>
  <c r="W35" i="79"/>
  <c r="U36" i="79"/>
  <c r="P277" i="72"/>
  <c r="K36" i="79"/>
  <c r="J36" i="79" s="1"/>
  <c r="I37" i="79"/>
  <c r="E35" i="79"/>
  <c r="D35" i="79" s="1"/>
  <c r="C36" i="79"/>
  <c r="Z41" i="72" l="1"/>
  <c r="AA41" i="72"/>
  <c r="AB40" i="72"/>
  <c r="O175" i="72"/>
  <c r="J175" i="72"/>
  <c r="M175" i="72" s="1"/>
  <c r="F176" i="72"/>
  <c r="K176" i="72"/>
  <c r="A177" i="72"/>
  <c r="E177" i="72" s="1"/>
  <c r="N176" i="72"/>
  <c r="L176" i="72"/>
  <c r="D176" i="72"/>
  <c r="AE176" i="72" s="1"/>
  <c r="I176" i="72"/>
  <c r="H176" i="72"/>
  <c r="K283" i="72"/>
  <c r="J123" i="73" s="1"/>
  <c r="P36" i="79"/>
  <c r="O37" i="79"/>
  <c r="Q36" i="79"/>
  <c r="BN39" i="115"/>
  <c r="Z40" i="115"/>
  <c r="AR39" i="115"/>
  <c r="BG39" i="115" s="1"/>
  <c r="C54" i="114"/>
  <c r="B55" i="114"/>
  <c r="E54" i="114"/>
  <c r="D54" i="114"/>
  <c r="J304" i="72"/>
  <c r="I306" i="72"/>
  <c r="W36" i="79"/>
  <c r="V36" i="79"/>
  <c r="U37" i="79"/>
  <c r="K37" i="79"/>
  <c r="J37" i="79"/>
  <c r="I38" i="79"/>
  <c r="E36" i="79"/>
  <c r="D36" i="79" s="1"/>
  <c r="C37" i="79"/>
  <c r="Q277" i="72"/>
  <c r="Z42" i="72" l="1"/>
  <c r="AA42" i="72"/>
  <c r="AB41" i="72"/>
  <c r="J176" i="72"/>
  <c r="M176" i="72" s="1"/>
  <c r="K177" i="72"/>
  <c r="I177" i="72"/>
  <c r="D177" i="72"/>
  <c r="H177" i="72"/>
  <c r="L177" i="72"/>
  <c r="N177" i="72"/>
  <c r="N180" i="72" s="1"/>
  <c r="N185" i="72" s="1"/>
  <c r="N189" i="72" s="1"/>
  <c r="F177" i="72"/>
  <c r="O176" i="72"/>
  <c r="L283" i="72"/>
  <c r="K123" i="73" s="1"/>
  <c r="Q37" i="79"/>
  <c r="P37" i="79"/>
  <c r="O38" i="79"/>
  <c r="BN40" i="115"/>
  <c r="AR40" i="115"/>
  <c r="BG40" i="115" s="1"/>
  <c r="Z41" i="115"/>
  <c r="J306" i="72"/>
  <c r="K304" i="72"/>
  <c r="B56" i="114"/>
  <c r="E55" i="114"/>
  <c r="D55" i="114"/>
  <c r="C55" i="114"/>
  <c r="R277" i="72"/>
  <c r="W37" i="79"/>
  <c r="V37" i="79"/>
  <c r="U38" i="79"/>
  <c r="E37" i="79"/>
  <c r="D37" i="79" s="1"/>
  <c r="C38" i="79"/>
  <c r="K38" i="79"/>
  <c r="J38" i="79" s="1"/>
  <c r="I39" i="79"/>
  <c r="Z43" i="72" l="1"/>
  <c r="AA43" i="72"/>
  <c r="AB42" i="72"/>
  <c r="AJ160" i="72"/>
  <c r="D60" i="97" s="1"/>
  <c r="J177" i="72"/>
  <c r="M177" i="72" s="1"/>
  <c r="F180" i="72"/>
  <c r="F23" i="73" s="1"/>
  <c r="O177" i="72"/>
  <c r="O180" i="72" s="1"/>
  <c r="O185" i="72" s="1"/>
  <c r="O189" i="72" s="1"/>
  <c r="C7" i="72"/>
  <c r="G6" i="72"/>
  <c r="C9" i="72"/>
  <c r="C8" i="72"/>
  <c r="G9" i="72"/>
  <c r="G8" i="72"/>
  <c r="I12" i="73"/>
  <c r="P21" i="73" s="1"/>
  <c r="G7" i="72"/>
  <c r="C6" i="72"/>
  <c r="G10" i="72"/>
  <c r="B29" i="74"/>
  <c r="B31" i="74" s="1"/>
  <c r="AE177" i="72"/>
  <c r="M283" i="72"/>
  <c r="P38" i="79"/>
  <c r="Q38" i="79"/>
  <c r="O39" i="79"/>
  <c r="BN41" i="115"/>
  <c r="Z42" i="115"/>
  <c r="AR41" i="115"/>
  <c r="BG41" i="115" s="1"/>
  <c r="E56" i="114"/>
  <c r="D56" i="114"/>
  <c r="C56" i="114"/>
  <c r="B57" i="114"/>
  <c r="K306" i="72"/>
  <c r="L304" i="72"/>
  <c r="E38" i="79"/>
  <c r="D38" i="79" s="1"/>
  <c r="C39" i="79"/>
  <c r="V38" i="79"/>
  <c r="W38" i="79"/>
  <c r="U39" i="79"/>
  <c r="K39" i="79"/>
  <c r="J39" i="79" s="1"/>
  <c r="I40" i="79"/>
  <c r="S277" i="72"/>
  <c r="Z44" i="72" l="1"/>
  <c r="AB43" i="72"/>
  <c r="AA44" i="72"/>
  <c r="AJ156" i="72"/>
  <c r="D57" i="97" s="1"/>
  <c r="AJ157" i="72"/>
  <c r="D58" i="97" s="1"/>
  <c r="M180" i="72"/>
  <c r="Q210" i="72" s="1"/>
  <c r="K37" i="119"/>
  <c r="L37" i="119"/>
  <c r="I37" i="119"/>
  <c r="L38" i="119"/>
  <c r="K38" i="119"/>
  <c r="I38" i="119"/>
  <c r="G5" i="72"/>
  <c r="P283" i="72"/>
  <c r="O40" i="79"/>
  <c r="Q39" i="79"/>
  <c r="P39" i="79"/>
  <c r="BN42" i="115"/>
  <c r="Z43" i="115"/>
  <c r="AR42" i="115"/>
  <c r="BG42" i="115" s="1"/>
  <c r="M304" i="72"/>
  <c r="L306" i="72"/>
  <c r="D57" i="114"/>
  <c r="C57" i="114"/>
  <c r="E57" i="114"/>
  <c r="B58" i="114"/>
  <c r="W39" i="79"/>
  <c r="V39" i="79"/>
  <c r="U40" i="79"/>
  <c r="K40" i="79"/>
  <c r="J40" i="79" s="1"/>
  <c r="I41" i="79"/>
  <c r="E39" i="79"/>
  <c r="D39" i="79" s="1"/>
  <c r="C40" i="79"/>
  <c r="T277" i="72"/>
  <c r="Z45" i="72" l="1"/>
  <c r="AB44" i="72"/>
  <c r="AA45" i="72"/>
  <c r="W121" i="72"/>
  <c r="J204" i="72" s="1"/>
  <c r="M185" i="72"/>
  <c r="V204" i="72" s="1"/>
  <c r="W205" i="72" s="1"/>
  <c r="AK156" i="72"/>
  <c r="E57" i="97" s="1"/>
  <c r="AK157" i="72"/>
  <c r="E58" i="97" s="1"/>
  <c r="M208" i="72"/>
  <c r="M211" i="72" s="1"/>
  <c r="W120" i="72"/>
  <c r="W119" i="72"/>
  <c r="J62" i="72"/>
  <c r="J52" i="72"/>
  <c r="F10" i="72"/>
  <c r="V192" i="72"/>
  <c r="V174" i="72"/>
  <c r="V173" i="72"/>
  <c r="J43" i="72"/>
  <c r="J26" i="72"/>
  <c r="J29" i="72"/>
  <c r="V184" i="72"/>
  <c r="J24" i="72"/>
  <c r="W133" i="72"/>
  <c r="J48" i="72"/>
  <c r="M99" i="73"/>
  <c r="J50" i="72"/>
  <c r="J41" i="72"/>
  <c r="V181" i="72"/>
  <c r="J1" i="115"/>
  <c r="AH50" i="115" s="1"/>
  <c r="V155" i="72"/>
  <c r="J23" i="72"/>
  <c r="V168" i="72"/>
  <c r="J58" i="72"/>
  <c r="J66" i="72"/>
  <c r="J39" i="72"/>
  <c r="T61" i="72"/>
  <c r="W125" i="72"/>
  <c r="V160" i="72"/>
  <c r="J35" i="72"/>
  <c r="V178" i="72"/>
  <c r="J20" i="72"/>
  <c r="V158" i="72"/>
  <c r="I211" i="72"/>
  <c r="V188" i="72"/>
  <c r="V169" i="72"/>
  <c r="J47" i="72"/>
  <c r="B5" i="119"/>
  <c r="J34" i="72"/>
  <c r="V186" i="72"/>
  <c r="V189" i="72"/>
  <c r="V176" i="72"/>
  <c r="J55" i="72"/>
  <c r="V159" i="72"/>
  <c r="F9" i="72"/>
  <c r="J64" i="72"/>
  <c r="V167" i="72"/>
  <c r="J19" i="72"/>
  <c r="J15" i="72"/>
  <c r="V187" i="72"/>
  <c r="J54" i="72"/>
  <c r="V164" i="72"/>
  <c r="J31" i="72"/>
  <c r="J46" i="72"/>
  <c r="V194" i="72"/>
  <c r="J61" i="72"/>
  <c r="J17" i="72"/>
  <c r="V154" i="72"/>
  <c r="F7" i="72"/>
  <c r="V190" i="72"/>
  <c r="J36" i="72"/>
  <c r="V175" i="72"/>
  <c r="J63" i="72"/>
  <c r="V165" i="72"/>
  <c r="J27" i="72"/>
  <c r="V166" i="72"/>
  <c r="J25" i="72"/>
  <c r="J21" i="72"/>
  <c r="V156" i="72"/>
  <c r="V182" i="72"/>
  <c r="J53" i="72"/>
  <c r="V170" i="72"/>
  <c r="J32" i="72"/>
  <c r="J42" i="72"/>
  <c r="J60" i="72"/>
  <c r="V157" i="72"/>
  <c r="F6" i="72"/>
  <c r="C15" i="74"/>
  <c r="F8" i="72"/>
  <c r="V171" i="72"/>
  <c r="J37" i="72"/>
  <c r="J45" i="72"/>
  <c r="J68" i="72"/>
  <c r="C18" i="74" s="1"/>
  <c r="J31" i="74" s="1"/>
  <c r="I74" i="74" s="1"/>
  <c r="V179" i="72"/>
  <c r="J51" i="72"/>
  <c r="J38" i="72"/>
  <c r="W129" i="72"/>
  <c r="V163" i="72"/>
  <c r="U61" i="72"/>
  <c r="J59" i="72"/>
  <c r="V180" i="72"/>
  <c r="J57" i="72"/>
  <c r="J28" i="72"/>
  <c r="J18" i="72"/>
  <c r="J30" i="72"/>
  <c r="J16" i="72"/>
  <c r="J65" i="72"/>
  <c r="V162" i="72"/>
  <c r="J44" i="72"/>
  <c r="F21" i="73"/>
  <c r="I21" i="73" s="1"/>
  <c r="F18" i="73"/>
  <c r="I18" i="73" s="1"/>
  <c r="F20" i="73"/>
  <c r="I20" i="73" s="1"/>
  <c r="F19" i="73"/>
  <c r="I19" i="73" s="1"/>
  <c r="V207" i="72"/>
  <c r="H9" i="57"/>
  <c r="Q207" i="72"/>
  <c r="U208" i="72"/>
  <c r="Q208" i="72"/>
  <c r="Q283" i="72"/>
  <c r="P40" i="79"/>
  <c r="Q40" i="79"/>
  <c r="O41" i="79"/>
  <c r="Z44" i="115"/>
  <c r="AR43" i="115"/>
  <c r="BG43" i="115" s="1"/>
  <c r="BN43" i="115"/>
  <c r="D58" i="114"/>
  <c r="B59" i="114"/>
  <c r="C58" i="114"/>
  <c r="E58" i="114"/>
  <c r="M306" i="72"/>
  <c r="P304" i="72"/>
  <c r="G318" i="72"/>
  <c r="E40" i="79"/>
  <c r="D40" i="79" s="1"/>
  <c r="C41" i="79"/>
  <c r="V40" i="79"/>
  <c r="W40" i="79"/>
  <c r="U41" i="79"/>
  <c r="K41" i="79"/>
  <c r="J41" i="79"/>
  <c r="I42" i="79"/>
  <c r="M189" i="72" l="1"/>
  <c r="Z46" i="72"/>
  <c r="AB46" i="72" s="1"/>
  <c r="AA46" i="72"/>
  <c r="AB45" i="72"/>
  <c r="AL157" i="72"/>
  <c r="I23" i="73"/>
  <c r="P20" i="73" s="1"/>
  <c r="I25" i="73" s="1"/>
  <c r="W157" i="72"/>
  <c r="D265" i="119"/>
  <c r="W165" i="72"/>
  <c r="D273" i="119"/>
  <c r="D293" i="119"/>
  <c r="W186" i="72"/>
  <c r="D266" i="119"/>
  <c r="W158" i="72"/>
  <c r="D271" i="119"/>
  <c r="W163" i="72"/>
  <c r="D279" i="119"/>
  <c r="W171" i="72"/>
  <c r="W182" i="72"/>
  <c r="D289" i="119"/>
  <c r="W194" i="72"/>
  <c r="H299" i="119"/>
  <c r="D299" i="119"/>
  <c r="W167" i="72"/>
  <c r="D275" i="119"/>
  <c r="W173" i="72"/>
  <c r="D281" i="119"/>
  <c r="W156" i="72"/>
  <c r="D264" i="119"/>
  <c r="D283" i="119"/>
  <c r="W175" i="72"/>
  <c r="D325" i="119"/>
  <c r="I325" i="119" s="1"/>
  <c r="D307" i="119"/>
  <c r="I307" i="119" s="1"/>
  <c r="D346" i="119"/>
  <c r="I346" i="119" s="1"/>
  <c r="D324" i="119"/>
  <c r="I324" i="119" s="1"/>
  <c r="D311" i="119"/>
  <c r="I311" i="119" s="1"/>
  <c r="D353" i="119"/>
  <c r="D338" i="119"/>
  <c r="I338" i="119" s="1"/>
  <c r="D321" i="119"/>
  <c r="I321" i="119" s="1"/>
  <c r="D318" i="119"/>
  <c r="D350" i="119"/>
  <c r="D342" i="119"/>
  <c r="I342" i="119" s="1"/>
  <c r="D329" i="119"/>
  <c r="I329" i="119" s="1"/>
  <c r="D333" i="119"/>
  <c r="I333" i="119" s="1"/>
  <c r="D310" i="119"/>
  <c r="I310" i="119" s="1"/>
  <c r="D340" i="119"/>
  <c r="I340" i="119" s="1"/>
  <c r="D344" i="119"/>
  <c r="D351" i="119"/>
  <c r="I351" i="119" s="1"/>
  <c r="D306" i="119"/>
  <c r="I306" i="119" s="1"/>
  <c r="D327" i="119"/>
  <c r="I327" i="119" s="1"/>
  <c r="D323" i="119"/>
  <c r="I323" i="119" s="1"/>
  <c r="D349" i="119"/>
  <c r="I349" i="119" s="1"/>
  <c r="D331" i="119"/>
  <c r="D339" i="119"/>
  <c r="I339" i="119" s="1"/>
  <c r="D347" i="119"/>
  <c r="I347" i="119" s="1"/>
  <c r="D313" i="119"/>
  <c r="I313" i="119" s="1"/>
  <c r="D330" i="119"/>
  <c r="I330" i="119" s="1"/>
  <c r="D337" i="119"/>
  <c r="D348" i="119"/>
  <c r="I348" i="119" s="1"/>
  <c r="D317" i="119"/>
  <c r="I317" i="119" s="1"/>
  <c r="D341" i="119"/>
  <c r="I341" i="119" s="1"/>
  <c r="D309" i="119"/>
  <c r="I309" i="119" s="1"/>
  <c r="D315" i="119"/>
  <c r="I315" i="119" s="1"/>
  <c r="D316" i="119"/>
  <c r="I316" i="119" s="1"/>
  <c r="D312" i="119"/>
  <c r="I312" i="119" s="1"/>
  <c r="D320" i="119"/>
  <c r="I320" i="119" s="1"/>
  <c r="D343" i="119"/>
  <c r="D335" i="119"/>
  <c r="I335" i="119" s="1"/>
  <c r="D334" i="119"/>
  <c r="I334" i="119" s="1"/>
  <c r="D336" i="119"/>
  <c r="I336" i="119" s="1"/>
  <c r="D322" i="119"/>
  <c r="I322" i="119" s="1"/>
  <c r="D326" i="119"/>
  <c r="I326" i="119" s="1"/>
  <c r="D328" i="119"/>
  <c r="I328" i="119" s="1"/>
  <c r="D352" i="119"/>
  <c r="I352" i="119" s="1"/>
  <c r="D314" i="119"/>
  <c r="I314" i="119" s="1"/>
  <c r="D308" i="119"/>
  <c r="I308" i="119" s="1"/>
  <c r="D285" i="119"/>
  <c r="W178" i="72"/>
  <c r="D276" i="119"/>
  <c r="W168" i="72"/>
  <c r="D282" i="119"/>
  <c r="W174" i="72"/>
  <c r="C12" i="74"/>
  <c r="W192" i="72"/>
  <c r="D298" i="119"/>
  <c r="D270" i="119"/>
  <c r="W162" i="72"/>
  <c r="D296" i="119"/>
  <c r="W189" i="72"/>
  <c r="J193" i="72"/>
  <c r="J196" i="72" s="1"/>
  <c r="D260" i="119"/>
  <c r="H260" i="119" s="1"/>
  <c r="H218" i="72"/>
  <c r="H220" i="72" s="1"/>
  <c r="H226" i="72" s="1"/>
  <c r="C260" i="119"/>
  <c r="G260" i="119" s="1"/>
  <c r="M260" i="119" s="1"/>
  <c r="I218" i="72"/>
  <c r="W190" i="72"/>
  <c r="D297" i="119"/>
  <c r="D272" i="119"/>
  <c r="W164" i="72"/>
  <c r="W159" i="72"/>
  <c r="D267" i="119"/>
  <c r="D277" i="119"/>
  <c r="W169" i="72"/>
  <c r="V196" i="72"/>
  <c r="D300" i="119" s="1"/>
  <c r="W160" i="72"/>
  <c r="D268" i="119"/>
  <c r="W155" i="72"/>
  <c r="D263" i="119"/>
  <c r="D286" i="119"/>
  <c r="W179" i="72"/>
  <c r="D290" i="119"/>
  <c r="W184" i="72"/>
  <c r="D291" i="119"/>
  <c r="W170" i="72"/>
  <c r="D278" i="119"/>
  <c r="D287" i="119"/>
  <c r="W180" i="72"/>
  <c r="W166" i="72"/>
  <c r="D274" i="119"/>
  <c r="W154" i="72"/>
  <c r="D262" i="119"/>
  <c r="D294" i="119"/>
  <c r="W187" i="72"/>
  <c r="D284" i="119"/>
  <c r="W176" i="72"/>
  <c r="D295" i="119"/>
  <c r="W188" i="72"/>
  <c r="D288" i="119"/>
  <c r="W181" i="72"/>
  <c r="R283" i="72"/>
  <c r="O42" i="79"/>
  <c r="P41" i="79"/>
  <c r="Q41" i="79"/>
  <c r="AR44" i="115"/>
  <c r="BG44" i="115" s="1"/>
  <c r="Z45" i="115"/>
  <c r="BN44" i="115"/>
  <c r="Q304" i="72"/>
  <c r="P306" i="72"/>
  <c r="D59" i="114"/>
  <c r="B60" i="114"/>
  <c r="C59" i="114"/>
  <c r="E59" i="114"/>
  <c r="K42" i="79"/>
  <c r="J42" i="79" s="1"/>
  <c r="I43" i="79"/>
  <c r="V41" i="79"/>
  <c r="W41" i="79"/>
  <c r="U42" i="79"/>
  <c r="H318" i="72"/>
  <c r="E41" i="79"/>
  <c r="D41" i="79" s="1"/>
  <c r="C42" i="79"/>
  <c r="F58" i="97" l="1"/>
  <c r="E28" i="74"/>
  <c r="E26" i="74"/>
  <c r="E27" i="74"/>
  <c r="E29" i="74"/>
  <c r="W196" i="72"/>
  <c r="H11" i="72"/>
  <c r="J198" i="72"/>
  <c r="J200" i="72" s="1"/>
  <c r="D149" i="73"/>
  <c r="D140" i="73"/>
  <c r="D141" i="73" s="1"/>
  <c r="D142" i="73" s="1"/>
  <c r="D143" i="73" s="1"/>
  <c r="D43" i="73"/>
  <c r="D44" i="73" s="1"/>
  <c r="V3" i="72"/>
  <c r="D139" i="73"/>
  <c r="E25" i="74"/>
  <c r="J218" i="72"/>
  <c r="I220" i="72"/>
  <c r="I226" i="72" s="1"/>
  <c r="H234" i="72"/>
  <c r="C370" i="119" s="1"/>
  <c r="I370" i="119" s="1"/>
  <c r="H231" i="72"/>
  <c r="D111" i="73"/>
  <c r="D117" i="73" s="1"/>
  <c r="F139" i="73" s="1"/>
  <c r="H139" i="73" s="1"/>
  <c r="S283" i="72"/>
  <c r="P42" i="79"/>
  <c r="Q42" i="79"/>
  <c r="O43" i="79"/>
  <c r="AR45" i="115"/>
  <c r="BG45" i="115" s="1"/>
  <c r="Z46" i="115"/>
  <c r="BN45" i="115"/>
  <c r="E60" i="114"/>
  <c r="B61" i="114"/>
  <c r="C60" i="114"/>
  <c r="D60" i="114"/>
  <c r="R304" i="72"/>
  <c r="R306" i="72" s="1"/>
  <c r="Q306" i="72"/>
  <c r="W42" i="79"/>
  <c r="V42" i="79"/>
  <c r="U43" i="79"/>
  <c r="K43" i="79"/>
  <c r="J43" i="79" s="1"/>
  <c r="I44" i="79"/>
  <c r="E42" i="79"/>
  <c r="D42" i="79" s="1"/>
  <c r="C43" i="79"/>
  <c r="I318" i="72"/>
  <c r="E31" i="74" l="1"/>
  <c r="F29" i="74" s="1"/>
  <c r="J197" i="72"/>
  <c r="K218" i="72"/>
  <c r="J220" i="72"/>
  <c r="J226" i="72" s="1"/>
  <c r="J202" i="72"/>
  <c r="J203" i="72"/>
  <c r="V126" i="72"/>
  <c r="K11" i="72"/>
  <c r="M83" i="73"/>
  <c r="V4" i="72"/>
  <c r="V7" i="72" s="1"/>
  <c r="V19" i="72" s="1"/>
  <c r="C13" i="44" s="1"/>
  <c r="R52" i="89"/>
  <c r="Q53" i="89" s="1"/>
  <c r="H232" i="72"/>
  <c r="E139" i="73"/>
  <c r="H252" i="72"/>
  <c r="I234" i="72"/>
  <c r="I231" i="72"/>
  <c r="E111" i="73"/>
  <c r="E117" i="73" s="1"/>
  <c r="F140" i="73" s="1"/>
  <c r="H140" i="73" s="1"/>
  <c r="G323" i="72"/>
  <c r="T283" i="72"/>
  <c r="O44" i="79"/>
  <c r="Q43" i="79"/>
  <c r="P43" i="79"/>
  <c r="Z47" i="115"/>
  <c r="AR46" i="115"/>
  <c r="BG46" i="115" s="1"/>
  <c r="BN46" i="115"/>
  <c r="C61" i="114"/>
  <c r="E61" i="114"/>
  <c r="D61" i="114"/>
  <c r="B62" i="114"/>
  <c r="K44" i="79"/>
  <c r="J44" i="79" s="1"/>
  <c r="I45" i="79"/>
  <c r="W43" i="79"/>
  <c r="V43" i="79"/>
  <c r="U44" i="79"/>
  <c r="E43" i="79"/>
  <c r="D43" i="79" s="1"/>
  <c r="C44" i="79"/>
  <c r="D144" i="73"/>
  <c r="J318" i="72"/>
  <c r="J78" i="72" l="1"/>
  <c r="G78" i="72"/>
  <c r="C25" i="44"/>
  <c r="C63" i="44"/>
  <c r="F28" i="74"/>
  <c r="F25" i="74"/>
  <c r="F27" i="74"/>
  <c r="F26" i="74"/>
  <c r="BI1" i="115"/>
  <c r="BI10" i="115" s="1"/>
  <c r="BK10" i="115" s="1"/>
  <c r="I232" i="72"/>
  <c r="I252" i="72"/>
  <c r="E140" i="73"/>
  <c r="W126" i="72"/>
  <c r="V134" i="72"/>
  <c r="V132" i="72"/>
  <c r="V127" i="72"/>
  <c r="J234" i="72"/>
  <c r="C371" i="119" s="1"/>
  <c r="I371" i="119" s="1"/>
  <c r="F111" i="73"/>
  <c r="F117" i="73" s="1"/>
  <c r="F141" i="73" s="1"/>
  <c r="H141" i="73" s="1"/>
  <c r="J231" i="72"/>
  <c r="L218" i="72"/>
  <c r="K220" i="72"/>
  <c r="K226" i="72" s="1"/>
  <c r="I323" i="72"/>
  <c r="I324" i="72" s="1"/>
  <c r="Q323" i="72"/>
  <c r="J323" i="72"/>
  <c r="J324" i="72" s="1"/>
  <c r="R323" i="72"/>
  <c r="K323" i="72"/>
  <c r="L323" i="72"/>
  <c r="M323" i="72"/>
  <c r="P323" i="72"/>
  <c r="H323" i="72"/>
  <c r="H324" i="72" s="1"/>
  <c r="G324" i="72"/>
  <c r="P44" i="79"/>
  <c r="Q44" i="79"/>
  <c r="O45" i="79"/>
  <c r="BN47" i="115"/>
  <c r="Z48" i="115"/>
  <c r="AR47" i="115"/>
  <c r="BG47" i="115" s="1"/>
  <c r="C62" i="114"/>
  <c r="D62" i="114"/>
  <c r="B63" i="114"/>
  <c r="E62" i="114"/>
  <c r="K318" i="72"/>
  <c r="K45" i="79"/>
  <c r="J45" i="79" s="1"/>
  <c r="I46" i="79"/>
  <c r="E44" i="79"/>
  <c r="D44" i="79" s="1"/>
  <c r="C45" i="79"/>
  <c r="W44" i="79"/>
  <c r="V44" i="79"/>
  <c r="U45" i="79"/>
  <c r="D145" i="73"/>
  <c r="J34" i="73" l="1"/>
  <c r="D33" i="73"/>
  <c r="B138" i="73" s="1"/>
  <c r="I138" i="73" s="1"/>
  <c r="G80" i="72"/>
  <c r="Y95" i="72" s="1"/>
  <c r="Z95" i="72" s="1"/>
  <c r="AA96" i="72" s="1"/>
  <c r="AB96" i="72" s="1"/>
  <c r="G63" i="44"/>
  <c r="F63" i="44"/>
  <c r="J36" i="73"/>
  <c r="E183" i="119"/>
  <c r="F31" i="74"/>
  <c r="V21" i="72"/>
  <c r="R78" i="72" s="1"/>
  <c r="L220" i="72"/>
  <c r="L226" i="72" s="1"/>
  <c r="M218" i="72"/>
  <c r="J232" i="72"/>
  <c r="E141" i="73"/>
  <c r="I141" i="73" s="1"/>
  <c r="J252" i="72"/>
  <c r="K234" i="72"/>
  <c r="K231" i="72"/>
  <c r="G111" i="73"/>
  <c r="G117" i="73" s="1"/>
  <c r="F142" i="73" s="1"/>
  <c r="H142" i="73" s="1"/>
  <c r="BK52" i="115"/>
  <c r="BI45" i="115" s="1"/>
  <c r="Q45" i="79"/>
  <c r="P45" i="79"/>
  <c r="O46" i="79"/>
  <c r="BN48" i="115"/>
  <c r="AR48" i="115"/>
  <c r="BG48" i="115" s="1"/>
  <c r="B64" i="114"/>
  <c r="D63" i="114"/>
  <c r="C63" i="114"/>
  <c r="E63" i="114"/>
  <c r="D146" i="73"/>
  <c r="L318" i="72"/>
  <c r="K324" i="72"/>
  <c r="E45" i="79"/>
  <c r="D45" i="79" s="1"/>
  <c r="C46" i="79"/>
  <c r="J46" i="79"/>
  <c r="K46" i="79"/>
  <c r="I47" i="79"/>
  <c r="W45" i="79"/>
  <c r="V45" i="79"/>
  <c r="U46" i="79"/>
  <c r="H62" i="44" l="1"/>
  <c r="G100" i="72"/>
  <c r="G120" i="72" s="1"/>
  <c r="I76" i="72" s="1"/>
  <c r="S78" i="72"/>
  <c r="J42" i="73" s="1"/>
  <c r="BK18" i="115"/>
  <c r="BK48" i="115"/>
  <c r="BI22" i="115"/>
  <c r="BK41" i="115"/>
  <c r="BI24" i="115"/>
  <c r="BI42" i="115"/>
  <c r="BK42" i="115"/>
  <c r="BK40" i="115"/>
  <c r="BI25" i="115"/>
  <c r="BI15" i="115"/>
  <c r="BI31" i="115"/>
  <c r="BK34" i="115"/>
  <c r="BK47" i="115"/>
  <c r="BI14" i="115"/>
  <c r="BI38" i="115"/>
  <c r="BI36" i="115"/>
  <c r="BI43" i="115"/>
  <c r="BK36" i="115"/>
  <c r="BI27" i="115"/>
  <c r="BK26" i="115"/>
  <c r="BK31" i="115"/>
  <c r="BK14" i="115"/>
  <c r="BK19" i="115"/>
  <c r="BK30" i="115"/>
  <c r="BK32" i="115"/>
  <c r="BK28" i="115"/>
  <c r="BK25" i="115"/>
  <c r="BK15" i="115"/>
  <c r="BK29" i="115"/>
  <c r="BI33" i="115"/>
  <c r="BI47" i="115"/>
  <c r="BI37" i="115"/>
  <c r="BK23" i="115"/>
  <c r="BI19" i="115"/>
  <c r="BK24" i="115"/>
  <c r="BK45" i="115"/>
  <c r="BK38" i="115"/>
  <c r="BK44" i="115"/>
  <c r="BI26" i="115"/>
  <c r="BI16" i="115"/>
  <c r="BI46" i="115"/>
  <c r="BK35" i="115"/>
  <c r="BI17" i="115"/>
  <c r="BI41" i="115"/>
  <c r="BI23" i="115"/>
  <c r="BI20" i="115"/>
  <c r="BI44" i="115"/>
  <c r="BK43" i="115"/>
  <c r="BI21" i="115"/>
  <c r="BK27" i="115"/>
  <c r="BI35" i="115"/>
  <c r="BI28" i="115"/>
  <c r="BI40" i="115"/>
  <c r="BK37" i="115"/>
  <c r="BK16" i="115"/>
  <c r="BK22" i="115"/>
  <c r="BI34" i="115"/>
  <c r="BK46" i="115"/>
  <c r="BK21" i="115"/>
  <c r="BK20" i="115"/>
  <c r="BI29" i="115"/>
  <c r="K232" i="72"/>
  <c r="K252" i="72"/>
  <c r="E142" i="73"/>
  <c r="I142" i="73" s="1"/>
  <c r="M220" i="72"/>
  <c r="M226" i="72" s="1"/>
  <c r="P218" i="72"/>
  <c r="BI48" i="115"/>
  <c r="BK33" i="115"/>
  <c r="BK39" i="115"/>
  <c r="BI32" i="115"/>
  <c r="BI39" i="115"/>
  <c r="BK17" i="115"/>
  <c r="BI30" i="115"/>
  <c r="BI18" i="115"/>
  <c r="J40" i="73"/>
  <c r="R109" i="72"/>
  <c r="L234" i="72"/>
  <c r="H111" i="73"/>
  <c r="H117" i="73" s="1"/>
  <c r="F143" i="73" s="1"/>
  <c r="H143" i="73" s="1"/>
  <c r="L231" i="72"/>
  <c r="Q46" i="79"/>
  <c r="P46" i="79"/>
  <c r="O47" i="79"/>
  <c r="E64" i="114"/>
  <c r="D64" i="114"/>
  <c r="C64" i="114"/>
  <c r="B65" i="114"/>
  <c r="K47" i="79"/>
  <c r="J47" i="79" s="1"/>
  <c r="I48" i="79"/>
  <c r="D147" i="73"/>
  <c r="W46" i="79"/>
  <c r="V46" i="79"/>
  <c r="U47" i="79"/>
  <c r="E46" i="79"/>
  <c r="D46" i="79" s="1"/>
  <c r="C47" i="79"/>
  <c r="M318" i="72"/>
  <c r="L324" i="72"/>
  <c r="I80" i="72" l="1"/>
  <c r="I100" i="72" s="1"/>
  <c r="I120" i="72" s="1"/>
  <c r="J76" i="72" s="1"/>
  <c r="J80" i="72" s="1"/>
  <c r="D35" i="73"/>
  <c r="B140" i="73" s="1"/>
  <c r="I140" i="73" s="1"/>
  <c r="P78" i="72"/>
  <c r="J38" i="73" s="1"/>
  <c r="S109" i="72"/>
  <c r="S111" i="72" s="1"/>
  <c r="S118" i="72" s="1"/>
  <c r="BK49" i="115"/>
  <c r="BI49" i="115"/>
  <c r="M234" i="72"/>
  <c r="M231" i="72"/>
  <c r="I111" i="73"/>
  <c r="I117" i="73" s="1"/>
  <c r="F144" i="73" s="1"/>
  <c r="H144" i="73" s="1"/>
  <c r="L232" i="72"/>
  <c r="E143" i="73"/>
  <c r="I143" i="73" s="1"/>
  <c r="L252" i="72"/>
  <c r="R111" i="72"/>
  <c r="R118" i="72" s="1"/>
  <c r="Q218" i="72"/>
  <c r="P220" i="72"/>
  <c r="P226" i="72" s="1"/>
  <c r="O48" i="79"/>
  <c r="Q47" i="79"/>
  <c r="P47" i="79"/>
  <c r="B66" i="114"/>
  <c r="D65" i="114"/>
  <c r="C65" i="114"/>
  <c r="E65" i="114"/>
  <c r="D148" i="73"/>
  <c r="V47" i="79"/>
  <c r="W47" i="79"/>
  <c r="U48" i="79"/>
  <c r="K48" i="79"/>
  <c r="J48" i="79" s="1"/>
  <c r="I49" i="79"/>
  <c r="E47" i="79"/>
  <c r="D47" i="79" s="1"/>
  <c r="C48" i="79"/>
  <c r="P318" i="72"/>
  <c r="M324" i="72"/>
  <c r="P109" i="72" l="1"/>
  <c r="P111" i="72" s="1"/>
  <c r="J100" i="72"/>
  <c r="J120" i="72" s="1"/>
  <c r="K76" i="72" s="1"/>
  <c r="K80" i="72" s="1"/>
  <c r="Y98" i="72"/>
  <c r="Y99" i="72"/>
  <c r="Y96" i="72"/>
  <c r="Z96" i="72" s="1"/>
  <c r="Y97" i="72"/>
  <c r="T78" i="72"/>
  <c r="D34" i="73"/>
  <c r="B139" i="73" s="1"/>
  <c r="F183" i="119"/>
  <c r="BI50" i="115"/>
  <c r="M232" i="72"/>
  <c r="M252" i="72"/>
  <c r="E144" i="73"/>
  <c r="I144" i="73" s="1"/>
  <c r="P234" i="72"/>
  <c r="P231" i="72"/>
  <c r="J111" i="73"/>
  <c r="J117" i="73" s="1"/>
  <c r="F145" i="73" s="1"/>
  <c r="H145" i="73" s="1"/>
  <c r="R218" i="72"/>
  <c r="Q220" i="72"/>
  <c r="Q226" i="72" s="1"/>
  <c r="O49" i="79"/>
  <c r="Q48" i="79"/>
  <c r="P48" i="79"/>
  <c r="D66" i="114"/>
  <c r="E66" i="114"/>
  <c r="B67" i="114"/>
  <c r="C66" i="114"/>
  <c r="Q318" i="72"/>
  <c r="P324" i="72"/>
  <c r="D155" i="73"/>
  <c r="J49" i="79"/>
  <c r="K49" i="79"/>
  <c r="I50" i="79"/>
  <c r="E48" i="79"/>
  <c r="D48" i="79" s="1"/>
  <c r="C49" i="79"/>
  <c r="V48" i="79"/>
  <c r="W48" i="79"/>
  <c r="U49" i="79"/>
  <c r="AA97" i="72" l="1"/>
  <c r="AB97" i="72" s="1"/>
  <c r="Z97" i="72"/>
  <c r="AA98" i="72" s="1"/>
  <c r="K100" i="72"/>
  <c r="K120" i="72" s="1"/>
  <c r="L76" i="72" s="1"/>
  <c r="L80" i="72" s="1"/>
  <c r="E185" i="119" s="1"/>
  <c r="AD185" i="119" s="1"/>
  <c r="Y101" i="72"/>
  <c r="Y100" i="72"/>
  <c r="D42" i="73"/>
  <c r="D41" i="73"/>
  <c r="G183" i="119"/>
  <c r="I141" i="72"/>
  <c r="V139" i="72" s="1"/>
  <c r="T109" i="72"/>
  <c r="T111" i="72" s="1"/>
  <c r="P232" i="72"/>
  <c r="E145" i="73"/>
  <c r="I145" i="73" s="1"/>
  <c r="P252" i="72"/>
  <c r="B136" i="73"/>
  <c r="I139" i="73"/>
  <c r="B155" i="73"/>
  <c r="I158" i="73" s="1"/>
  <c r="Q234" i="72"/>
  <c r="K111" i="73"/>
  <c r="K117" i="73" s="1"/>
  <c r="F146" i="73" s="1"/>
  <c r="H146" i="73" s="1"/>
  <c r="Q231" i="72"/>
  <c r="R220" i="72"/>
  <c r="R226" i="72" s="1"/>
  <c r="S218" i="72"/>
  <c r="Q49" i="79"/>
  <c r="P49" i="79"/>
  <c r="O50" i="79"/>
  <c r="E67" i="114"/>
  <c r="D67" i="114"/>
  <c r="C67" i="114"/>
  <c r="B68" i="114"/>
  <c r="K50" i="79"/>
  <c r="J50" i="79" s="1"/>
  <c r="I51" i="79"/>
  <c r="E49" i="79"/>
  <c r="D49" i="79" s="1"/>
  <c r="C50" i="79"/>
  <c r="W49" i="79"/>
  <c r="V49" i="79"/>
  <c r="U50" i="79"/>
  <c r="R318" i="72"/>
  <c r="R324" i="72" s="1"/>
  <c r="Q324" i="72"/>
  <c r="AB98" i="72" l="1"/>
  <c r="L100" i="72"/>
  <c r="L120" i="72" s="1"/>
  <c r="P76" i="72" s="1"/>
  <c r="P100" i="72" s="1"/>
  <c r="Y103" i="72"/>
  <c r="Y104" i="72"/>
  <c r="Y102" i="72"/>
  <c r="Z98" i="72"/>
  <c r="T80" i="72"/>
  <c r="P114" i="72"/>
  <c r="P117" i="72" s="1"/>
  <c r="P118" i="72" s="1"/>
  <c r="J141" i="72"/>
  <c r="I143" i="72"/>
  <c r="S183" i="119"/>
  <c r="S204" i="119" s="1"/>
  <c r="AF183" i="119"/>
  <c r="AF204" i="119" s="1"/>
  <c r="M183" i="119"/>
  <c r="Q183" i="119" s="1"/>
  <c r="Q232" i="72"/>
  <c r="Q252" i="72"/>
  <c r="E146" i="73"/>
  <c r="I146" i="73" s="1"/>
  <c r="W139" i="72"/>
  <c r="S220" i="72"/>
  <c r="S226" i="72" s="1"/>
  <c r="T218" i="72"/>
  <c r="R234" i="72"/>
  <c r="D122" i="73"/>
  <c r="D128" i="73" s="1"/>
  <c r="F147" i="73" s="1"/>
  <c r="H147" i="73" s="1"/>
  <c r="R231" i="72"/>
  <c r="Q50" i="79"/>
  <c r="P50" i="79"/>
  <c r="O51" i="79"/>
  <c r="D68" i="114"/>
  <c r="C68" i="114"/>
  <c r="E68" i="114"/>
  <c r="B69" i="114"/>
  <c r="W50" i="79"/>
  <c r="V50" i="79"/>
  <c r="U51" i="79"/>
  <c r="K51" i="79"/>
  <c r="J51" i="79" s="1"/>
  <c r="I52" i="79"/>
  <c r="E50" i="79"/>
  <c r="D50" i="79" s="1"/>
  <c r="C51" i="79"/>
  <c r="W86" i="72" l="1"/>
  <c r="W84" i="72"/>
  <c r="N34" i="41"/>
  <c r="P120" i="72"/>
  <c r="R76" i="72" s="1"/>
  <c r="R100" i="72" s="1"/>
  <c r="R120" i="72" s="1"/>
  <c r="S76" i="72" s="1"/>
  <c r="S100" i="72" s="1"/>
  <c r="S120" i="72" s="1"/>
  <c r="T100" i="72"/>
  <c r="AD107" i="72"/>
  <c r="Y105" i="72"/>
  <c r="V138" i="72"/>
  <c r="W138" i="72" s="1"/>
  <c r="G185" i="119"/>
  <c r="T114" i="72"/>
  <c r="T117" i="72" s="1"/>
  <c r="T118" i="72" s="1"/>
  <c r="Z99" i="72"/>
  <c r="AA99" i="72"/>
  <c r="AB99" i="72" s="1"/>
  <c r="V183" i="119"/>
  <c r="AD183" i="119" s="1"/>
  <c r="P183" i="119"/>
  <c r="O183" i="119"/>
  <c r="N183" i="119"/>
  <c r="S234" i="72"/>
  <c r="E122" i="73"/>
  <c r="E128" i="73" s="1"/>
  <c r="F148" i="73" s="1"/>
  <c r="H148" i="73" s="1"/>
  <c r="S231" i="72"/>
  <c r="R232" i="72"/>
  <c r="R252" i="72"/>
  <c r="E147" i="73"/>
  <c r="I147" i="73" s="1"/>
  <c r="T220" i="72"/>
  <c r="T226" i="72" s="1"/>
  <c r="H259" i="72"/>
  <c r="Q51" i="79"/>
  <c r="P51" i="79"/>
  <c r="O52" i="79"/>
  <c r="E69" i="114"/>
  <c r="C69" i="114"/>
  <c r="B70" i="114"/>
  <c r="D69" i="114"/>
  <c r="V51" i="79"/>
  <c r="W51" i="79"/>
  <c r="U52" i="79"/>
  <c r="E51" i="79"/>
  <c r="D51" i="79" s="1"/>
  <c r="C52" i="79"/>
  <c r="K52" i="79"/>
  <c r="J52" i="79" s="1"/>
  <c r="I53" i="79"/>
  <c r="F31" i="107" l="1"/>
  <c r="F36" i="107" s="1"/>
  <c r="F39" i="107" s="1"/>
  <c r="I24" i="97" s="1"/>
  <c r="H99" i="119"/>
  <c r="K99" i="119"/>
  <c r="N122" i="41"/>
  <c r="H101" i="119"/>
  <c r="H129" i="119" s="1"/>
  <c r="K101" i="119"/>
  <c r="G186" i="119"/>
  <c r="C209" i="119" s="1"/>
  <c r="E186" i="119"/>
  <c r="F186" i="119"/>
  <c r="F204" i="119" s="1"/>
  <c r="T120" i="72"/>
  <c r="AA100" i="72"/>
  <c r="AB100" i="72" s="1"/>
  <c r="Z100" i="72"/>
  <c r="V141" i="72"/>
  <c r="W141" i="72" s="1"/>
  <c r="V140" i="72"/>
  <c r="Z183" i="119"/>
  <c r="Y183" i="119"/>
  <c r="AC183" i="119"/>
  <c r="X183" i="119"/>
  <c r="X204" i="119" s="1"/>
  <c r="W183" i="119"/>
  <c r="AE183" i="119"/>
  <c r="H261" i="72"/>
  <c r="H267" i="72" s="1"/>
  <c r="I259" i="72"/>
  <c r="S232" i="72"/>
  <c r="E148" i="73"/>
  <c r="I148" i="73" s="1"/>
  <c r="S252" i="72"/>
  <c r="T234" i="72"/>
  <c r="F122" i="73"/>
  <c r="F128" i="73" s="1"/>
  <c r="F149" i="73" s="1"/>
  <c r="H149" i="73" s="1"/>
  <c r="T231" i="72"/>
  <c r="P52" i="79"/>
  <c r="Q52" i="79"/>
  <c r="O53" i="79"/>
  <c r="E70" i="114"/>
  <c r="C70" i="114"/>
  <c r="D70" i="114"/>
  <c r="B71" i="114"/>
  <c r="K53" i="79"/>
  <c r="J53" i="79" s="1"/>
  <c r="I54" i="79"/>
  <c r="E52" i="79"/>
  <c r="D52" i="79" s="1"/>
  <c r="C53" i="79"/>
  <c r="V52" i="79"/>
  <c r="W52" i="79"/>
  <c r="U53" i="79"/>
  <c r="AD186" i="119" l="1"/>
  <c r="AD204" i="119" s="1"/>
  <c r="E204" i="119"/>
  <c r="G204" i="119"/>
  <c r="V143" i="72"/>
  <c r="V142" i="72"/>
  <c r="AA101" i="72"/>
  <c r="AB101" i="72" s="1"/>
  <c r="Z101" i="72"/>
  <c r="T232" i="72"/>
  <c r="T252" i="72"/>
  <c r="G293" i="72" s="1"/>
  <c r="E149" i="73"/>
  <c r="I149" i="73" s="1"/>
  <c r="J259" i="72"/>
  <c r="I261" i="72"/>
  <c r="I267" i="72" s="1"/>
  <c r="H275" i="72"/>
  <c r="H272" i="72"/>
  <c r="G122" i="73"/>
  <c r="G128" i="73" s="1"/>
  <c r="F150" i="73" s="1"/>
  <c r="H150" i="73" s="1"/>
  <c r="Q53" i="79"/>
  <c r="O54" i="79"/>
  <c r="P53" i="79"/>
  <c r="C71" i="114"/>
  <c r="E71" i="114"/>
  <c r="D71" i="114"/>
  <c r="B72" i="114"/>
  <c r="E53" i="79"/>
  <c r="D53" i="79" s="1"/>
  <c r="C54" i="79"/>
  <c r="K54" i="79"/>
  <c r="J54" i="79" s="1"/>
  <c r="I55" i="79"/>
  <c r="V53" i="79"/>
  <c r="W53" i="79"/>
  <c r="U54" i="79"/>
  <c r="K127" i="119" l="1"/>
  <c r="K129" i="119" s="1"/>
  <c r="V144" i="72"/>
  <c r="W143" i="72"/>
  <c r="AA102" i="72"/>
  <c r="AB102" i="72" s="1"/>
  <c r="Z102" i="72"/>
  <c r="I275" i="72"/>
  <c r="H122" i="73"/>
  <c r="H128" i="73" s="1"/>
  <c r="F151" i="73" s="1"/>
  <c r="H151" i="73" s="1"/>
  <c r="I272" i="72"/>
  <c r="J261" i="72"/>
  <c r="J267" i="72" s="1"/>
  <c r="K259" i="72"/>
  <c r="H273" i="72"/>
  <c r="E150" i="73"/>
  <c r="I150" i="73" s="1"/>
  <c r="H293" i="72"/>
  <c r="P54" i="79"/>
  <c r="Q54" i="79"/>
  <c r="O55" i="79"/>
  <c r="C72" i="114"/>
  <c r="B73" i="114"/>
  <c r="E72" i="114"/>
  <c r="D72" i="114"/>
  <c r="K55" i="79"/>
  <c r="J55" i="79" s="1"/>
  <c r="I56" i="79"/>
  <c r="W54" i="79"/>
  <c r="V54" i="79"/>
  <c r="U55" i="79"/>
  <c r="E54" i="79"/>
  <c r="D54" i="79" s="1"/>
  <c r="C55" i="79"/>
  <c r="Z103" i="72" l="1"/>
  <c r="AA103" i="72"/>
  <c r="AB103" i="72" s="1"/>
  <c r="I273" i="72"/>
  <c r="I293" i="72"/>
  <c r="E151" i="73"/>
  <c r="I151" i="73" s="1"/>
  <c r="L259" i="72"/>
  <c r="K261" i="72"/>
  <c r="K267" i="72" s="1"/>
  <c r="J275" i="72"/>
  <c r="J272" i="72"/>
  <c r="I122" i="73"/>
  <c r="I128" i="73" s="1"/>
  <c r="F152" i="73" s="1"/>
  <c r="H152" i="73" s="1"/>
  <c r="V231" i="72"/>
  <c r="P55" i="79"/>
  <c r="Q55" i="79"/>
  <c r="O56" i="79"/>
  <c r="C73" i="114"/>
  <c r="B74" i="114"/>
  <c r="E73" i="114"/>
  <c r="D73" i="114"/>
  <c r="K56" i="79"/>
  <c r="J56" i="79" s="1"/>
  <c r="I57" i="79"/>
  <c r="E55" i="79"/>
  <c r="D55" i="79" s="1"/>
  <c r="C56" i="79"/>
  <c r="V55" i="79"/>
  <c r="W55" i="79"/>
  <c r="U56" i="79"/>
  <c r="AA104" i="72" l="1"/>
  <c r="AB104" i="72" s="1"/>
  <c r="Z104" i="72"/>
  <c r="M259" i="72"/>
  <c r="L261" i="72"/>
  <c r="L267" i="72" s="1"/>
  <c r="J273" i="72"/>
  <c r="E152" i="73"/>
  <c r="I152" i="73" s="1"/>
  <c r="J293" i="72"/>
  <c r="K275" i="72"/>
  <c r="J122" i="73"/>
  <c r="J128" i="73" s="1"/>
  <c r="F153" i="73" s="1"/>
  <c r="H153" i="73" s="1"/>
  <c r="K272" i="72"/>
  <c r="O57" i="79"/>
  <c r="Q56" i="79"/>
  <c r="P56" i="79"/>
  <c r="D74" i="114"/>
  <c r="B75" i="114"/>
  <c r="C74" i="114"/>
  <c r="E74" i="114"/>
  <c r="V56" i="79"/>
  <c r="W56" i="79"/>
  <c r="U57" i="79"/>
  <c r="K57" i="79"/>
  <c r="J57" i="79" s="1"/>
  <c r="I58" i="79"/>
  <c r="E56" i="79"/>
  <c r="D56" i="79" s="1"/>
  <c r="C57" i="79"/>
  <c r="Z105" i="72" l="1"/>
  <c r="AA105" i="72"/>
  <c r="AB105" i="72" s="1"/>
  <c r="L275" i="72"/>
  <c r="C372" i="119" s="1"/>
  <c r="I372" i="119" s="1"/>
  <c r="L272" i="72"/>
  <c r="K122" i="73"/>
  <c r="K128" i="73" s="1"/>
  <c r="F154" i="73" s="1"/>
  <c r="H154" i="73" s="1"/>
  <c r="K273" i="72"/>
  <c r="K293" i="72"/>
  <c r="E153" i="73"/>
  <c r="I153" i="73" s="1"/>
  <c r="P259" i="72"/>
  <c r="M261" i="72"/>
  <c r="M267" i="72" s="1"/>
  <c r="Q57" i="79"/>
  <c r="P57" i="79"/>
  <c r="O58" i="79"/>
  <c r="E75" i="114"/>
  <c r="B76" i="114"/>
  <c r="C75" i="114"/>
  <c r="D75" i="114"/>
  <c r="V57" i="79"/>
  <c r="W57" i="79"/>
  <c r="U58" i="79"/>
  <c r="E57" i="79"/>
  <c r="D57" i="79" s="1"/>
  <c r="C58" i="79"/>
  <c r="J58" i="79"/>
  <c r="K58" i="79"/>
  <c r="I59" i="79"/>
  <c r="AC104" i="72" l="1"/>
  <c r="AC111" i="72"/>
  <c r="AC121" i="72"/>
  <c r="AC109" i="72"/>
  <c r="AC102" i="72"/>
  <c r="AC122" i="72"/>
  <c r="AC120" i="72"/>
  <c r="AC123" i="72"/>
  <c r="AC119" i="72"/>
  <c r="AC103" i="72"/>
  <c r="AC98" i="72"/>
  <c r="AC112" i="72"/>
  <c r="AC108" i="72"/>
  <c r="AC99" i="72"/>
  <c r="AC106" i="72"/>
  <c r="AC100" i="72"/>
  <c r="AC116" i="72"/>
  <c r="AC97" i="72"/>
  <c r="AC105" i="72"/>
  <c r="AC96" i="72"/>
  <c r="AC117" i="72"/>
  <c r="AC101" i="72"/>
  <c r="AC113" i="72"/>
  <c r="AC114" i="72"/>
  <c r="AC118" i="72"/>
  <c r="AC115" i="72"/>
  <c r="Z106" i="72"/>
  <c r="AA106" i="72"/>
  <c r="AB106" i="72" s="1"/>
  <c r="L273" i="72"/>
  <c r="L293" i="72"/>
  <c r="E154" i="73"/>
  <c r="I154" i="73" s="1"/>
  <c r="I155" i="73" s="1"/>
  <c r="M272" i="72"/>
  <c r="M275" i="72"/>
  <c r="P261" i="72"/>
  <c r="P267" i="72" s="1"/>
  <c r="Q259" i="72"/>
  <c r="O59" i="79"/>
  <c r="P58" i="79"/>
  <c r="Q58" i="79"/>
  <c r="D76" i="114"/>
  <c r="E76" i="114"/>
  <c r="B77" i="114"/>
  <c r="C76" i="114"/>
  <c r="K59" i="79"/>
  <c r="J59" i="79" s="1"/>
  <c r="I60" i="79"/>
  <c r="E58" i="79"/>
  <c r="D58" i="79" s="1"/>
  <c r="C59" i="79"/>
  <c r="W58" i="79"/>
  <c r="V58" i="79"/>
  <c r="U59" i="79"/>
  <c r="AA107" i="72" l="1"/>
  <c r="AB107" i="72" s="1"/>
  <c r="AC107" i="72" s="1"/>
  <c r="Z107" i="72"/>
  <c r="I136" i="73"/>
  <c r="P272" i="72"/>
  <c r="P275" i="72"/>
  <c r="M273" i="72"/>
  <c r="M293" i="72"/>
  <c r="R259" i="72"/>
  <c r="Q261" i="72"/>
  <c r="Q267" i="72" s="1"/>
  <c r="P59" i="79"/>
  <c r="O60" i="79"/>
  <c r="Q59" i="79"/>
  <c r="D77" i="114"/>
  <c r="B78" i="114"/>
  <c r="C77" i="114"/>
  <c r="E77" i="114"/>
  <c r="E59" i="79"/>
  <c r="D59" i="79" s="1"/>
  <c r="C60" i="79"/>
  <c r="K60" i="79"/>
  <c r="J60" i="79" s="1"/>
  <c r="I61" i="79"/>
  <c r="V59" i="79"/>
  <c r="W59" i="79"/>
  <c r="U60" i="79"/>
  <c r="AA108" i="72" l="1"/>
  <c r="AB108" i="72" s="1"/>
  <c r="Z108" i="72"/>
  <c r="S259" i="72"/>
  <c r="R261" i="72"/>
  <c r="R267" i="72" s="1"/>
  <c r="Q272" i="72"/>
  <c r="Q275" i="72"/>
  <c r="P273" i="72"/>
  <c r="P293" i="72"/>
  <c r="Q60" i="79"/>
  <c r="O61" i="79"/>
  <c r="P60" i="79"/>
  <c r="E78" i="114"/>
  <c r="D78" i="114"/>
  <c r="B79" i="114"/>
  <c r="C78" i="114"/>
  <c r="E60" i="79"/>
  <c r="D60" i="79" s="1"/>
  <c r="C61" i="79"/>
  <c r="W60" i="79"/>
  <c r="V60" i="79"/>
  <c r="U61" i="79"/>
  <c r="K61" i="79"/>
  <c r="J61" i="79"/>
  <c r="I62" i="79"/>
  <c r="Z109" i="72" l="1"/>
  <c r="AA109" i="72"/>
  <c r="AB109" i="72" s="1"/>
  <c r="R272" i="72"/>
  <c r="R275" i="72"/>
  <c r="Q273" i="72"/>
  <c r="Q293" i="72"/>
  <c r="S261" i="72"/>
  <c r="S267" i="72" s="1"/>
  <c r="T259" i="72"/>
  <c r="O62" i="79"/>
  <c r="Q61" i="79"/>
  <c r="P61" i="79"/>
  <c r="E79" i="114"/>
  <c r="D79" i="114"/>
  <c r="B80" i="114"/>
  <c r="C79" i="114"/>
  <c r="W61" i="79"/>
  <c r="V61" i="79"/>
  <c r="U62" i="79"/>
  <c r="E61" i="79"/>
  <c r="D61" i="79" s="1"/>
  <c r="C62" i="79"/>
  <c r="K62" i="79"/>
  <c r="J62" i="79"/>
  <c r="I63" i="79"/>
  <c r="AA110" i="72" l="1"/>
  <c r="AB110" i="72" s="1"/>
  <c r="AC110" i="72" s="1"/>
  <c r="Z110" i="72"/>
  <c r="S275" i="72"/>
  <c r="S272" i="72"/>
  <c r="T261" i="72"/>
  <c r="T267" i="72" s="1"/>
  <c r="H300" i="72"/>
  <c r="R273" i="72"/>
  <c r="R293" i="72"/>
  <c r="Q62" i="79"/>
  <c r="P62" i="79"/>
  <c r="O63" i="79"/>
  <c r="D80" i="114"/>
  <c r="C80" i="114"/>
  <c r="E80" i="114"/>
  <c r="B81" i="114"/>
  <c r="W62" i="79"/>
  <c r="V62" i="79"/>
  <c r="U63" i="79"/>
  <c r="E62" i="79"/>
  <c r="D62" i="79" s="1"/>
  <c r="C63" i="79"/>
  <c r="K63" i="79"/>
  <c r="J63" i="79" s="1"/>
  <c r="I64" i="79"/>
  <c r="Z111" i="72" l="1"/>
  <c r="AA111" i="72"/>
  <c r="AB111" i="72" s="1"/>
  <c r="H302" i="72"/>
  <c r="H308" i="72" s="1"/>
  <c r="I300" i="72"/>
  <c r="T275" i="72"/>
  <c r="T272" i="72"/>
  <c r="S273" i="72"/>
  <c r="S293" i="72"/>
  <c r="P63" i="79"/>
  <c r="O64" i="79"/>
  <c r="Q63" i="79"/>
  <c r="D81" i="114"/>
  <c r="E81" i="114"/>
  <c r="B82" i="114"/>
  <c r="C81" i="114"/>
  <c r="E63" i="79"/>
  <c r="D63" i="79" s="1"/>
  <c r="C64" i="79"/>
  <c r="W63" i="79"/>
  <c r="V63" i="79"/>
  <c r="U64" i="79"/>
  <c r="K64" i="79"/>
  <c r="J64" i="79" s="1"/>
  <c r="I65" i="79"/>
  <c r="AA112" i="72" l="1"/>
  <c r="AB112" i="72" s="1"/>
  <c r="Z112" i="72"/>
  <c r="I302" i="72"/>
  <c r="I308" i="72" s="1"/>
  <c r="J300" i="72"/>
  <c r="T273" i="72"/>
  <c r="T293" i="72"/>
  <c r="G334" i="72" s="1"/>
  <c r="H316" i="72"/>
  <c r="H313" i="72"/>
  <c r="Q64" i="79"/>
  <c r="P64" i="79"/>
  <c r="O65" i="79"/>
  <c r="B83" i="114"/>
  <c r="C82" i="114"/>
  <c r="E82" i="114"/>
  <c r="D82" i="114"/>
  <c r="K65" i="79"/>
  <c r="J65" i="79" s="1"/>
  <c r="I66" i="79"/>
  <c r="V64" i="79"/>
  <c r="W64" i="79"/>
  <c r="U65" i="79"/>
  <c r="E64" i="79"/>
  <c r="D64" i="79" s="1"/>
  <c r="C65" i="79"/>
  <c r="AA113" i="72" l="1"/>
  <c r="AB113" i="72" s="1"/>
  <c r="Z113" i="72"/>
  <c r="H314" i="72"/>
  <c r="H334" i="72"/>
  <c r="K300" i="72"/>
  <c r="J302" i="72"/>
  <c r="J308" i="72" s="1"/>
  <c r="I316" i="72"/>
  <c r="I313" i="72"/>
  <c r="O66" i="79"/>
  <c r="P65" i="79"/>
  <c r="Q65" i="79"/>
  <c r="C83" i="114"/>
  <c r="E83" i="114"/>
  <c r="B84" i="114"/>
  <c r="D83" i="114"/>
  <c r="V65" i="79"/>
  <c r="W65" i="79"/>
  <c r="U66" i="79"/>
  <c r="E65" i="79"/>
  <c r="D65" i="79" s="1"/>
  <c r="C66" i="79"/>
  <c r="K66" i="79"/>
  <c r="J66" i="79" s="1"/>
  <c r="I67" i="79"/>
  <c r="AA114" i="72" l="1"/>
  <c r="AB114" i="72" s="1"/>
  <c r="Z114" i="72"/>
  <c r="J316" i="72"/>
  <c r="J313" i="72"/>
  <c r="I314" i="72"/>
  <c r="I334" i="72"/>
  <c r="K302" i="72"/>
  <c r="K308" i="72" s="1"/>
  <c r="L300" i="72"/>
  <c r="P66" i="79"/>
  <c r="Q66" i="79"/>
  <c r="O67" i="79"/>
  <c r="E84" i="114"/>
  <c r="D84" i="114"/>
  <c r="B85" i="114"/>
  <c r="C84" i="114"/>
  <c r="W66" i="79"/>
  <c r="V66" i="79"/>
  <c r="U67" i="79"/>
  <c r="K67" i="79"/>
  <c r="J67" i="79" s="1"/>
  <c r="I68" i="79"/>
  <c r="E66" i="79"/>
  <c r="D66" i="79" s="1"/>
  <c r="C67" i="79"/>
  <c r="AA115" i="72" l="1"/>
  <c r="AB115" i="72" s="1"/>
  <c r="Z115" i="72"/>
  <c r="K316" i="72"/>
  <c r="K313" i="72"/>
  <c r="M300" i="72"/>
  <c r="L302" i="72"/>
  <c r="L308" i="72" s="1"/>
  <c r="J314" i="72"/>
  <c r="J334" i="72"/>
  <c r="Q67" i="79"/>
  <c r="P67" i="79"/>
  <c r="O68" i="79"/>
  <c r="B86" i="114"/>
  <c r="C85" i="114"/>
  <c r="E85" i="114"/>
  <c r="D85" i="114"/>
  <c r="K68" i="79"/>
  <c r="J68" i="79" s="1"/>
  <c r="I69" i="79"/>
  <c r="W67" i="79"/>
  <c r="V67" i="79"/>
  <c r="U68" i="79"/>
  <c r="E67" i="79"/>
  <c r="D67" i="79" s="1"/>
  <c r="C68" i="79"/>
  <c r="Z116" i="72" l="1"/>
  <c r="AA116" i="72"/>
  <c r="AB116" i="72" s="1"/>
  <c r="L316" i="72"/>
  <c r="L313" i="72"/>
  <c r="M302" i="72"/>
  <c r="M308" i="72" s="1"/>
  <c r="P300" i="72"/>
  <c r="K314" i="72"/>
  <c r="K334" i="72"/>
  <c r="P68" i="79"/>
  <c r="Q68" i="79"/>
  <c r="O69" i="79"/>
  <c r="E86" i="114"/>
  <c r="D86" i="114"/>
  <c r="B87" i="114"/>
  <c r="C86" i="114"/>
  <c r="K69" i="79"/>
  <c r="J69" i="79" s="1"/>
  <c r="I70" i="79"/>
  <c r="V68" i="79"/>
  <c r="W68" i="79"/>
  <c r="U69" i="79"/>
  <c r="E68" i="79"/>
  <c r="D68" i="79" s="1"/>
  <c r="C69" i="79"/>
  <c r="AA117" i="72" l="1"/>
  <c r="AB117" i="72" s="1"/>
  <c r="Z117" i="72"/>
  <c r="P302" i="72"/>
  <c r="P308" i="72" s="1"/>
  <c r="Q300" i="72"/>
  <c r="M316" i="72"/>
  <c r="M313" i="72"/>
  <c r="L314" i="72"/>
  <c r="L334" i="72"/>
  <c r="Q69" i="79"/>
  <c r="P69" i="79"/>
  <c r="O70" i="79"/>
  <c r="D87" i="114"/>
  <c r="B88" i="114"/>
  <c r="E87" i="114"/>
  <c r="C87" i="114"/>
  <c r="K70" i="79"/>
  <c r="J70" i="79" s="1"/>
  <c r="I71" i="79"/>
  <c r="E69" i="79"/>
  <c r="D69" i="79" s="1"/>
  <c r="C70" i="79"/>
  <c r="W69" i="79"/>
  <c r="V69" i="79"/>
  <c r="U70" i="79"/>
  <c r="AA118" i="72" l="1"/>
  <c r="AB118" i="72" s="1"/>
  <c r="Z118" i="72"/>
  <c r="M314" i="72"/>
  <c r="M334" i="72"/>
  <c r="Q302" i="72"/>
  <c r="Q308" i="72" s="1"/>
  <c r="R300" i="72"/>
  <c r="R302" i="72" s="1"/>
  <c r="R308" i="72" s="1"/>
  <c r="P316" i="72"/>
  <c r="P313" i="72"/>
  <c r="Q70" i="79"/>
  <c r="P70" i="79"/>
  <c r="O71" i="79"/>
  <c r="B89" i="114"/>
  <c r="D88" i="114"/>
  <c r="C88" i="114"/>
  <c r="E88" i="114"/>
  <c r="K71" i="79"/>
  <c r="J71" i="79" s="1"/>
  <c r="I72" i="79"/>
  <c r="W70" i="79"/>
  <c r="V70" i="79"/>
  <c r="U71" i="79"/>
  <c r="E70" i="79"/>
  <c r="D70" i="79" s="1"/>
  <c r="C71" i="79"/>
  <c r="AA119" i="72" l="1"/>
  <c r="AB119" i="72" s="1"/>
  <c r="Z119" i="72"/>
  <c r="R313" i="72"/>
  <c r="R314" i="72" s="1"/>
  <c r="R316" i="72"/>
  <c r="P314" i="72"/>
  <c r="P334" i="72"/>
  <c r="Q316" i="72"/>
  <c r="Q313" i="72"/>
  <c r="P71" i="79"/>
  <c r="Q71" i="79"/>
  <c r="O72" i="79"/>
  <c r="C89" i="114"/>
  <c r="E89" i="114"/>
  <c r="B90" i="114"/>
  <c r="D89" i="114"/>
  <c r="E71" i="79"/>
  <c r="D71" i="79" s="1"/>
  <c r="C72" i="79"/>
  <c r="K72" i="79"/>
  <c r="J72" i="79" s="1"/>
  <c r="I73" i="79"/>
  <c r="W71" i="79"/>
  <c r="V71" i="79"/>
  <c r="U72" i="79"/>
  <c r="AA120" i="72" l="1"/>
  <c r="AB120" i="72" s="1"/>
  <c r="Z120" i="72"/>
  <c r="Q314" i="72"/>
  <c r="Q334" i="72"/>
  <c r="R334" i="72" s="1"/>
  <c r="Q72" i="79"/>
  <c r="P72" i="79"/>
  <c r="O73" i="79"/>
  <c r="D90" i="114"/>
  <c r="B91" i="114"/>
  <c r="E90" i="114"/>
  <c r="C90" i="114"/>
  <c r="V72" i="79"/>
  <c r="W72" i="79"/>
  <c r="U73" i="79"/>
  <c r="E72" i="79"/>
  <c r="D72" i="79" s="1"/>
  <c r="C73" i="79"/>
  <c r="K73" i="79"/>
  <c r="J73" i="79" s="1"/>
  <c r="I74" i="79"/>
  <c r="AA121" i="72" l="1"/>
  <c r="AB121" i="72" s="1"/>
  <c r="Z121" i="72"/>
  <c r="P73" i="79"/>
  <c r="Q73" i="79"/>
  <c r="O74" i="79"/>
  <c r="E91" i="114"/>
  <c r="C91" i="114"/>
  <c r="B92" i="114"/>
  <c r="D91" i="114"/>
  <c r="E73" i="79"/>
  <c r="D73" i="79" s="1"/>
  <c r="C74" i="79"/>
  <c r="K74" i="79"/>
  <c r="J74" i="79"/>
  <c r="I75" i="79"/>
  <c r="V73" i="79"/>
  <c r="W73" i="79"/>
  <c r="U74" i="79"/>
  <c r="Z122" i="72" l="1"/>
  <c r="AA122" i="72"/>
  <c r="AB122" i="72" s="1"/>
  <c r="Q74" i="79"/>
  <c r="P74" i="79"/>
  <c r="O75" i="79"/>
  <c r="D92" i="114"/>
  <c r="C92" i="114"/>
  <c r="B93" i="114"/>
  <c r="E92" i="114"/>
  <c r="K75" i="79"/>
  <c r="J75" i="79" s="1"/>
  <c r="I76" i="79"/>
  <c r="E74" i="79"/>
  <c r="D74" i="79" s="1"/>
  <c r="C75" i="79"/>
  <c r="V74" i="79"/>
  <c r="W74" i="79"/>
  <c r="U75" i="79"/>
  <c r="AA123" i="72" l="1"/>
  <c r="AB123" i="72" s="1"/>
  <c r="Z123" i="72"/>
  <c r="Q75" i="79"/>
  <c r="P75" i="79"/>
  <c r="O76" i="79"/>
  <c r="D93" i="114"/>
  <c r="C93" i="114"/>
  <c r="E93" i="114"/>
  <c r="B94" i="114"/>
  <c r="E75" i="79"/>
  <c r="D75" i="79" s="1"/>
  <c r="C76" i="79"/>
  <c r="K76" i="79"/>
  <c r="J76" i="79" s="1"/>
  <c r="I77" i="79"/>
  <c r="W75" i="79"/>
  <c r="V75" i="79"/>
  <c r="U76" i="79"/>
  <c r="Q76" i="79" l="1"/>
  <c r="O77" i="79"/>
  <c r="P76" i="79"/>
  <c r="B95" i="114"/>
  <c r="D94" i="114"/>
  <c r="E94" i="114"/>
  <c r="C94" i="114"/>
  <c r="E76" i="79"/>
  <c r="D76" i="79" s="1"/>
  <c r="C77" i="79"/>
  <c r="W76" i="79"/>
  <c r="V76" i="79"/>
  <c r="U77" i="79"/>
  <c r="K77" i="79"/>
  <c r="J77" i="79" s="1"/>
  <c r="I78" i="79"/>
  <c r="P77" i="79" l="1"/>
  <c r="O78" i="79"/>
  <c r="Q77" i="79"/>
  <c r="E95" i="114"/>
  <c r="D95" i="114"/>
  <c r="B96" i="114"/>
  <c r="C95" i="114"/>
  <c r="E77" i="79"/>
  <c r="D77" i="79" s="1"/>
  <c r="C78" i="79"/>
  <c r="K78" i="79"/>
  <c r="J78" i="79" s="1"/>
  <c r="I79" i="79"/>
  <c r="W77" i="79"/>
  <c r="V77" i="79"/>
  <c r="U78" i="79"/>
  <c r="Q78" i="79" l="1"/>
  <c r="P78" i="79"/>
  <c r="O79" i="79"/>
  <c r="B97" i="114"/>
  <c r="E96" i="114"/>
  <c r="D96" i="114"/>
  <c r="C96" i="114"/>
  <c r="K79" i="79"/>
  <c r="J79" i="79" s="1"/>
  <c r="I80" i="79"/>
  <c r="W78" i="79"/>
  <c r="V78" i="79"/>
  <c r="U79" i="79"/>
  <c r="E78" i="79"/>
  <c r="D78" i="79" s="1"/>
  <c r="C79" i="79"/>
  <c r="Q79" i="79" l="1"/>
  <c r="O80" i="79"/>
  <c r="P79" i="79"/>
  <c r="E97" i="114"/>
  <c r="D97" i="114"/>
  <c r="B98" i="114"/>
  <c r="C97" i="114"/>
  <c r="K80" i="79"/>
  <c r="J80" i="79" s="1"/>
  <c r="I81" i="79"/>
  <c r="E79" i="79"/>
  <c r="D79" i="79" s="1"/>
  <c r="C80" i="79"/>
  <c r="V79" i="79"/>
  <c r="W79" i="79"/>
  <c r="U80" i="79"/>
  <c r="O81" i="79" l="1"/>
  <c r="Q80" i="79"/>
  <c r="P80" i="79"/>
  <c r="C98" i="114"/>
  <c r="B99" i="114"/>
  <c r="E98" i="114"/>
  <c r="D98" i="114"/>
  <c r="E80" i="79"/>
  <c r="D80" i="79" s="1"/>
  <c r="C81" i="79"/>
  <c r="K81" i="79"/>
  <c r="J81" i="79" s="1"/>
  <c r="I82" i="79"/>
  <c r="V80" i="79"/>
  <c r="W80" i="79"/>
  <c r="U81" i="79"/>
  <c r="Q81" i="79" l="1"/>
  <c r="O82" i="79"/>
  <c r="P81" i="79"/>
  <c r="D99" i="114"/>
  <c r="E99" i="114"/>
  <c r="C99" i="114"/>
  <c r="B100" i="114"/>
  <c r="K82" i="79"/>
  <c r="J82" i="79" s="1"/>
  <c r="I83" i="79"/>
  <c r="E81" i="79"/>
  <c r="D81" i="79" s="1"/>
  <c r="C82" i="79"/>
  <c r="W81" i="79"/>
  <c r="V81" i="79"/>
  <c r="U82" i="79"/>
  <c r="Q82" i="79" l="1"/>
  <c r="P82" i="79"/>
  <c r="O83" i="79"/>
  <c r="E100" i="114"/>
  <c r="D100" i="114"/>
  <c r="C100" i="114"/>
  <c r="B101" i="114"/>
  <c r="E82" i="79"/>
  <c r="D82" i="79" s="1"/>
  <c r="C83" i="79"/>
  <c r="K83" i="79"/>
  <c r="J83" i="79" s="1"/>
  <c r="I84" i="79"/>
  <c r="W82" i="79"/>
  <c r="V82" i="79"/>
  <c r="U83" i="79"/>
  <c r="Q83" i="79" l="1"/>
  <c r="P83" i="79"/>
  <c r="O84" i="79"/>
  <c r="C101" i="114"/>
  <c r="E101" i="114"/>
  <c r="D101" i="114"/>
  <c r="B102" i="114"/>
  <c r="E83" i="79"/>
  <c r="D83" i="79" s="1"/>
  <c r="C84" i="79"/>
  <c r="W83" i="79"/>
  <c r="V83" i="79"/>
  <c r="U84" i="79"/>
  <c r="K84" i="79"/>
  <c r="J84" i="79" s="1"/>
  <c r="I85" i="79"/>
  <c r="O85" i="79" l="1"/>
  <c r="Q84" i="79"/>
  <c r="P84" i="79"/>
  <c r="C102" i="114"/>
  <c r="B103" i="114"/>
  <c r="D102" i="114"/>
  <c r="E102" i="114"/>
  <c r="E84" i="79"/>
  <c r="D84" i="79" s="1"/>
  <c r="C85" i="79"/>
  <c r="K85" i="79"/>
  <c r="J85" i="79" s="1"/>
  <c r="I86" i="79"/>
  <c r="V84" i="79"/>
  <c r="W84" i="79"/>
  <c r="U85" i="79"/>
  <c r="P85" i="79" l="1"/>
  <c r="O86" i="79"/>
  <c r="Q85" i="79"/>
  <c r="D103" i="114"/>
  <c r="E103" i="114"/>
  <c r="B104" i="114"/>
  <c r="C103" i="114"/>
  <c r="E85" i="79"/>
  <c r="D85" i="79" s="1"/>
  <c r="C86" i="79"/>
  <c r="K86" i="79"/>
  <c r="J86" i="79" s="1"/>
  <c r="I87" i="79"/>
  <c r="V85" i="79"/>
  <c r="W85" i="79"/>
  <c r="U86" i="79"/>
  <c r="Q86" i="79" l="1"/>
  <c r="P86" i="79"/>
  <c r="O87" i="79"/>
  <c r="C104" i="114"/>
  <c r="B105" i="114"/>
  <c r="D104" i="114"/>
  <c r="E104" i="114"/>
  <c r="W86" i="79"/>
  <c r="V86" i="79"/>
  <c r="U87" i="79"/>
  <c r="E86" i="79"/>
  <c r="D86" i="79" s="1"/>
  <c r="C87" i="79"/>
  <c r="K87" i="79"/>
  <c r="J87" i="79" s="1"/>
  <c r="I88" i="79"/>
  <c r="O88" i="79" l="1"/>
  <c r="Q87" i="79"/>
  <c r="P87" i="79"/>
  <c r="E105" i="114"/>
  <c r="B106" i="114"/>
  <c r="C105" i="114"/>
  <c r="D105" i="114"/>
  <c r="K88" i="79"/>
  <c r="J88" i="79" s="1"/>
  <c r="I89" i="79"/>
  <c r="V87" i="79"/>
  <c r="W87" i="79"/>
  <c r="U88" i="79"/>
  <c r="E87" i="79"/>
  <c r="D87" i="79" s="1"/>
  <c r="C88" i="79"/>
  <c r="Q88" i="79" l="1"/>
  <c r="P88" i="79"/>
  <c r="O89" i="79"/>
  <c r="B107" i="114"/>
  <c r="E106" i="114"/>
  <c r="D106" i="114"/>
  <c r="C106" i="114"/>
  <c r="V88" i="79"/>
  <c r="W88" i="79"/>
  <c r="U89" i="79"/>
  <c r="E88" i="79"/>
  <c r="D88" i="79" s="1"/>
  <c r="C89" i="79"/>
  <c r="K89" i="79"/>
  <c r="J89" i="79" s="1"/>
  <c r="I90" i="79"/>
  <c r="Q89" i="79" l="1"/>
  <c r="P89" i="79"/>
  <c r="O90" i="79"/>
  <c r="E107" i="114"/>
  <c r="B108" i="114"/>
  <c r="C107" i="114"/>
  <c r="D107" i="114"/>
  <c r="K90" i="79"/>
  <c r="J90" i="79" s="1"/>
  <c r="I91" i="79"/>
  <c r="E89" i="79"/>
  <c r="D89" i="79" s="1"/>
  <c r="C90" i="79"/>
  <c r="V89" i="79"/>
  <c r="W89" i="79"/>
  <c r="U90" i="79"/>
  <c r="P90" i="79" l="1"/>
  <c r="Q90" i="79"/>
  <c r="O91" i="79"/>
  <c r="C108" i="114"/>
  <c r="B109" i="114"/>
  <c r="D108" i="114"/>
  <c r="E108" i="114"/>
  <c r="W90" i="79"/>
  <c r="V90" i="79"/>
  <c r="U91" i="79"/>
  <c r="E90" i="79"/>
  <c r="D90" i="79" s="1"/>
  <c r="C91" i="79"/>
  <c r="K91" i="79"/>
  <c r="J91" i="79" s="1"/>
  <c r="I92" i="79"/>
  <c r="P91" i="79" l="1"/>
  <c r="Q91" i="79"/>
  <c r="O92" i="79"/>
  <c r="B110" i="114"/>
  <c r="C109" i="114"/>
  <c r="D109" i="114"/>
  <c r="E109" i="114"/>
  <c r="E91" i="79"/>
  <c r="D91" i="79" s="1"/>
  <c r="C92" i="79"/>
  <c r="W91" i="79"/>
  <c r="V91" i="79"/>
  <c r="U92" i="79"/>
  <c r="K92" i="79"/>
  <c r="J92" i="79" s="1"/>
  <c r="I93" i="79"/>
  <c r="P92" i="79" l="1"/>
  <c r="Q92" i="79"/>
  <c r="O93" i="79"/>
  <c r="D110" i="114"/>
  <c r="E110" i="114"/>
  <c r="C110" i="114"/>
  <c r="B111" i="114"/>
  <c r="E92" i="79"/>
  <c r="D92" i="79" s="1"/>
  <c r="C93" i="79"/>
  <c r="K93" i="79"/>
  <c r="J93" i="79" s="1"/>
  <c r="I94" i="79"/>
  <c r="W92" i="79"/>
  <c r="V92" i="79"/>
  <c r="U93" i="79"/>
  <c r="Q93" i="79" l="1"/>
  <c r="P93" i="79"/>
  <c r="O94" i="79"/>
  <c r="E111" i="114"/>
  <c r="B112" i="114"/>
  <c r="C111" i="114"/>
  <c r="D111" i="114"/>
  <c r="V93" i="79"/>
  <c r="W93" i="79"/>
  <c r="U94" i="79"/>
  <c r="K94" i="79"/>
  <c r="J94" i="79" s="1"/>
  <c r="I95" i="79"/>
  <c r="E93" i="79"/>
  <c r="D93" i="79" s="1"/>
  <c r="C94" i="79"/>
  <c r="P94" i="79" l="1"/>
  <c r="O95" i="79"/>
  <c r="Q94" i="79"/>
  <c r="D112" i="114"/>
  <c r="C112" i="114"/>
  <c r="E112" i="114"/>
  <c r="B113" i="114"/>
  <c r="E94" i="79"/>
  <c r="D94" i="79" s="1"/>
  <c r="C95" i="79"/>
  <c r="V94" i="79"/>
  <c r="W94" i="79"/>
  <c r="U95" i="79"/>
  <c r="K95" i="79"/>
  <c r="J95" i="79" s="1"/>
  <c r="I96" i="79"/>
  <c r="Q95" i="79" l="1"/>
  <c r="P95" i="79"/>
  <c r="O96" i="79"/>
  <c r="E113" i="114"/>
  <c r="D113" i="114"/>
  <c r="B114" i="114"/>
  <c r="C113" i="114"/>
  <c r="V95" i="79"/>
  <c r="W95" i="79"/>
  <c r="U96" i="79"/>
  <c r="K96" i="79"/>
  <c r="J96" i="79" s="1"/>
  <c r="I97" i="79"/>
  <c r="E95" i="79"/>
  <c r="D95" i="79" s="1"/>
  <c r="C96" i="79"/>
  <c r="Q96" i="79" l="1"/>
  <c r="O97" i="79"/>
  <c r="P96" i="79"/>
  <c r="D114" i="114"/>
  <c r="B115" i="114"/>
  <c r="E114" i="114"/>
  <c r="C114" i="114"/>
  <c r="K97" i="79"/>
  <c r="J97" i="79" s="1"/>
  <c r="I98" i="79"/>
  <c r="E96" i="79"/>
  <c r="D96" i="79" s="1"/>
  <c r="C97" i="79"/>
  <c r="V96" i="79"/>
  <c r="W96" i="79"/>
  <c r="U97" i="79"/>
  <c r="P97" i="79" l="1"/>
  <c r="Q97" i="79"/>
  <c r="O98" i="79"/>
  <c r="C115" i="114"/>
  <c r="B116" i="114"/>
  <c r="D115" i="114"/>
  <c r="E115" i="114"/>
  <c r="E97" i="79"/>
  <c r="D97" i="79" s="1"/>
  <c r="C98" i="79"/>
  <c r="K98" i="79"/>
  <c r="J98" i="79" s="1"/>
  <c r="I99" i="79"/>
  <c r="W97" i="79"/>
  <c r="V97" i="79"/>
  <c r="U98" i="79"/>
  <c r="P98" i="79" l="1"/>
  <c r="Q98" i="79"/>
  <c r="O99" i="79"/>
  <c r="C116" i="114"/>
  <c r="B117" i="114"/>
  <c r="D116" i="114"/>
  <c r="E116" i="114"/>
  <c r="E98" i="79"/>
  <c r="D98" i="79" s="1"/>
  <c r="C99" i="79"/>
  <c r="W98" i="79"/>
  <c r="V98" i="79"/>
  <c r="U99" i="79"/>
  <c r="K99" i="79"/>
  <c r="J99" i="79" s="1"/>
  <c r="I100" i="79"/>
  <c r="O100" i="79" l="1"/>
  <c r="Q99" i="79"/>
  <c r="P99" i="79"/>
  <c r="C117" i="114"/>
  <c r="E117" i="114"/>
  <c r="B118" i="114"/>
  <c r="D117" i="114"/>
  <c r="E99" i="79"/>
  <c r="D99" i="79" s="1"/>
  <c r="C100" i="79"/>
  <c r="K100" i="79"/>
  <c r="J100" i="79" s="1"/>
  <c r="I101" i="79"/>
  <c r="V99" i="79"/>
  <c r="W99" i="79"/>
  <c r="U100" i="79"/>
  <c r="P100" i="79" l="1"/>
  <c r="Q100" i="79"/>
  <c r="O101" i="79"/>
  <c r="E118" i="114"/>
  <c r="B119" i="114"/>
  <c r="D118" i="114"/>
  <c r="C118" i="114"/>
  <c r="E100" i="79"/>
  <c r="D100" i="79" s="1"/>
  <c r="C101" i="79"/>
  <c r="V100" i="79"/>
  <c r="W100" i="79"/>
  <c r="U101" i="79"/>
  <c r="K101" i="79"/>
  <c r="J101" i="79" s="1"/>
  <c r="I102" i="79"/>
  <c r="O102" i="79" l="1"/>
  <c r="Q101" i="79"/>
  <c r="P101" i="79"/>
  <c r="B120" i="114"/>
  <c r="C119" i="114"/>
  <c r="D119" i="114"/>
  <c r="E119" i="114"/>
  <c r="E101" i="79"/>
  <c r="D101" i="79" s="1"/>
  <c r="C102" i="79"/>
  <c r="K102" i="79"/>
  <c r="J102" i="79" s="1"/>
  <c r="I103" i="79"/>
  <c r="V101" i="79"/>
  <c r="W101" i="79"/>
  <c r="U102" i="79"/>
  <c r="Q102" i="79" l="1"/>
  <c r="O103" i="79"/>
  <c r="P102" i="79"/>
  <c r="D120" i="114"/>
  <c r="C120" i="114"/>
  <c r="E120" i="114"/>
  <c r="B121" i="114"/>
  <c r="E102" i="79"/>
  <c r="D102" i="79" s="1"/>
  <c r="C103" i="79"/>
  <c r="W102" i="79"/>
  <c r="V102" i="79"/>
  <c r="U103" i="79"/>
  <c r="K103" i="79"/>
  <c r="J103" i="79" s="1"/>
  <c r="I104" i="79"/>
  <c r="P103" i="79" l="1"/>
  <c r="O104" i="79"/>
  <c r="Q103" i="79"/>
  <c r="E121" i="114"/>
  <c r="D121" i="114"/>
  <c r="B122" i="114"/>
  <c r="C121" i="114"/>
  <c r="E103" i="79"/>
  <c r="D103" i="79" s="1"/>
  <c r="C104" i="79"/>
  <c r="K104" i="79"/>
  <c r="J104" i="79" s="1"/>
  <c r="I105" i="79"/>
  <c r="W103" i="79"/>
  <c r="V103" i="79"/>
  <c r="U104" i="79"/>
  <c r="O105" i="79" l="1"/>
  <c r="Q104" i="79"/>
  <c r="P104" i="79"/>
  <c r="D122" i="114"/>
  <c r="B123" i="114"/>
  <c r="E122" i="114"/>
  <c r="C122" i="114"/>
  <c r="W104" i="79"/>
  <c r="V104" i="79"/>
  <c r="U105" i="79"/>
  <c r="E104" i="79"/>
  <c r="D104" i="79" s="1"/>
  <c r="C105" i="79"/>
  <c r="K105" i="79"/>
  <c r="J105" i="79" s="1"/>
  <c r="I106" i="79"/>
  <c r="Q105" i="79" l="1"/>
  <c r="P105" i="79"/>
  <c r="O106" i="79"/>
  <c r="B124" i="114"/>
  <c r="C123" i="114"/>
  <c r="D123" i="114"/>
  <c r="E123" i="114"/>
  <c r="K106" i="79"/>
  <c r="J106" i="79" s="1"/>
  <c r="I107" i="79"/>
  <c r="E105" i="79"/>
  <c r="D105" i="79" s="1"/>
  <c r="C106" i="79"/>
  <c r="W105" i="79"/>
  <c r="V105" i="79"/>
  <c r="U106" i="79"/>
  <c r="O107" i="79" l="1"/>
  <c r="Q106" i="79"/>
  <c r="P106" i="79"/>
  <c r="C124" i="114"/>
  <c r="E124" i="114"/>
  <c r="D124" i="114"/>
  <c r="B125" i="114"/>
  <c r="E106" i="79"/>
  <c r="D106" i="79" s="1"/>
  <c r="C107" i="79"/>
  <c r="W106" i="79"/>
  <c r="V106" i="79"/>
  <c r="U107" i="79"/>
  <c r="K107" i="79"/>
  <c r="J107" i="79" s="1"/>
  <c r="I108" i="79"/>
  <c r="O108" i="79" l="1"/>
  <c r="P107" i="79"/>
  <c r="Q107" i="79"/>
  <c r="E125" i="114"/>
  <c r="C125" i="114"/>
  <c r="B126" i="114"/>
  <c r="D125" i="114"/>
  <c r="V107" i="79"/>
  <c r="W107" i="79"/>
  <c r="U108" i="79"/>
  <c r="K108" i="79"/>
  <c r="J108" i="79" s="1"/>
  <c r="I109" i="79"/>
  <c r="E107" i="79"/>
  <c r="D107" i="79" s="1"/>
  <c r="C108" i="79"/>
  <c r="O109" i="79" l="1"/>
  <c r="P108" i="79"/>
  <c r="Q108" i="79"/>
  <c r="B127" i="114"/>
  <c r="C126" i="114"/>
  <c r="E126" i="114"/>
  <c r="D126" i="114"/>
  <c r="V108" i="79"/>
  <c r="W108" i="79"/>
  <c r="U109" i="79"/>
  <c r="E108" i="79"/>
  <c r="D108" i="79" s="1"/>
  <c r="C109" i="79"/>
  <c r="K109" i="79"/>
  <c r="J109" i="79" s="1"/>
  <c r="I110" i="79"/>
  <c r="O110" i="79" l="1"/>
  <c r="Q109" i="79"/>
  <c r="P109" i="79"/>
  <c r="E127" i="114"/>
  <c r="C127" i="114"/>
  <c r="D127" i="114"/>
  <c r="B128" i="114"/>
  <c r="W109" i="79"/>
  <c r="V109" i="79"/>
  <c r="U110" i="79"/>
  <c r="K110" i="79"/>
  <c r="J110" i="79" s="1"/>
  <c r="I111" i="79"/>
  <c r="E109" i="79"/>
  <c r="D109" i="79" s="1"/>
  <c r="C110" i="79"/>
  <c r="P110" i="79" l="1"/>
  <c r="Q110" i="79"/>
  <c r="O111" i="79"/>
  <c r="D128" i="114"/>
  <c r="B129" i="114"/>
  <c r="C128" i="114"/>
  <c r="E128" i="114"/>
  <c r="J111" i="79"/>
  <c r="K111" i="79"/>
  <c r="I112" i="79"/>
  <c r="E110" i="79"/>
  <c r="D110" i="79" s="1"/>
  <c r="C111" i="79"/>
  <c r="W110" i="79"/>
  <c r="V110" i="79"/>
  <c r="U111" i="79"/>
  <c r="O112" i="79" l="1"/>
  <c r="Q111" i="79"/>
  <c r="P111" i="79"/>
  <c r="C129" i="114"/>
  <c r="B130" i="114"/>
  <c r="E129" i="114"/>
  <c r="D129" i="114"/>
  <c r="V111" i="79"/>
  <c r="W111" i="79"/>
  <c r="U112" i="79"/>
  <c r="E111" i="79"/>
  <c r="D111" i="79" s="1"/>
  <c r="C112" i="79"/>
  <c r="K112" i="79"/>
  <c r="J112" i="79" s="1"/>
  <c r="I113" i="79"/>
  <c r="O113" i="79" l="1"/>
  <c r="P112" i="79"/>
  <c r="Q112" i="79"/>
  <c r="B131" i="114"/>
  <c r="C130" i="114"/>
  <c r="E130" i="114"/>
  <c r="D130" i="114"/>
  <c r="E112" i="79"/>
  <c r="D112" i="79" s="1"/>
  <c r="C113" i="79"/>
  <c r="K113" i="79"/>
  <c r="J113" i="79" s="1"/>
  <c r="I114" i="79"/>
  <c r="W112" i="79"/>
  <c r="V112" i="79"/>
  <c r="U113" i="79"/>
  <c r="O114" i="79" l="1"/>
  <c r="P113" i="79"/>
  <c r="Q113" i="79"/>
  <c r="E131" i="114"/>
  <c r="C131" i="114"/>
  <c r="D131" i="114"/>
  <c r="B132" i="114"/>
  <c r="V113" i="79"/>
  <c r="W113" i="79"/>
  <c r="U114" i="79"/>
  <c r="K114" i="79"/>
  <c r="J114" i="79" s="1"/>
  <c r="I115" i="79"/>
  <c r="E113" i="79"/>
  <c r="D113" i="79" s="1"/>
  <c r="C114" i="79"/>
  <c r="P114" i="79" l="1"/>
  <c r="Q114" i="79"/>
  <c r="O115" i="79"/>
  <c r="C132" i="114"/>
  <c r="E132" i="114"/>
  <c r="B133" i="114"/>
  <c r="D132" i="114"/>
  <c r="E114" i="79"/>
  <c r="D114" i="79" s="1"/>
  <c r="C115" i="79"/>
  <c r="W114" i="79"/>
  <c r="V114" i="79"/>
  <c r="U115" i="79"/>
  <c r="K115" i="79"/>
  <c r="J115" i="79" s="1"/>
  <c r="I116" i="79"/>
  <c r="O116" i="79" l="1"/>
  <c r="P115" i="79"/>
  <c r="Q115" i="79"/>
  <c r="D133" i="114"/>
  <c r="E133" i="114"/>
  <c r="B134" i="114"/>
  <c r="C133" i="114"/>
  <c r="K116" i="79"/>
  <c r="J116" i="79" s="1"/>
  <c r="I117" i="79"/>
  <c r="E115" i="79"/>
  <c r="D115" i="79" s="1"/>
  <c r="C116" i="79"/>
  <c r="V115" i="79"/>
  <c r="W115" i="79"/>
  <c r="U116" i="79"/>
  <c r="Q116" i="79" l="1"/>
  <c r="P116" i="79"/>
  <c r="O117" i="79"/>
  <c r="D134" i="114"/>
  <c r="C134" i="114"/>
  <c r="B135" i="114"/>
  <c r="E134" i="114"/>
  <c r="K117" i="79"/>
  <c r="J117" i="79" s="1"/>
  <c r="I118" i="79"/>
  <c r="V116" i="79"/>
  <c r="W116" i="79"/>
  <c r="U117" i="79"/>
  <c r="E116" i="79"/>
  <c r="D116" i="79" s="1"/>
  <c r="C117" i="79"/>
  <c r="Q117" i="79" l="1"/>
  <c r="P117" i="79"/>
  <c r="O118" i="79"/>
  <c r="D135" i="114"/>
  <c r="B136" i="114"/>
  <c r="C135" i="114"/>
  <c r="E135" i="114"/>
  <c r="E117" i="79"/>
  <c r="D117" i="79" s="1"/>
  <c r="C118" i="79"/>
  <c r="K118" i="79"/>
  <c r="J118" i="79" s="1"/>
  <c r="I119" i="79"/>
  <c r="V117" i="79"/>
  <c r="W117" i="79"/>
  <c r="U118" i="79"/>
  <c r="O119" i="79" l="1"/>
  <c r="Q118" i="79"/>
  <c r="P118" i="79"/>
  <c r="E136" i="114"/>
  <c r="B137" i="114"/>
  <c r="C136" i="114"/>
  <c r="D136" i="114"/>
  <c r="E118" i="79"/>
  <c r="D118" i="79" s="1"/>
  <c r="C119" i="79"/>
  <c r="V118" i="79"/>
  <c r="W118" i="79"/>
  <c r="U119" i="79"/>
  <c r="K119" i="79"/>
  <c r="J119" i="79" s="1"/>
  <c r="I120" i="79"/>
  <c r="P119" i="79" l="1"/>
  <c r="Q119" i="79"/>
  <c r="O120" i="79"/>
  <c r="C137" i="114"/>
  <c r="E137" i="114"/>
  <c r="D137" i="114"/>
  <c r="B138" i="114"/>
  <c r="K120" i="79"/>
  <c r="J120" i="79" s="1"/>
  <c r="I121" i="79"/>
  <c r="E119" i="79"/>
  <c r="D119" i="79" s="1"/>
  <c r="C120" i="79"/>
  <c r="W119" i="79"/>
  <c r="V119" i="79"/>
  <c r="U120" i="79"/>
  <c r="O121" i="79" l="1"/>
  <c r="Q120" i="79"/>
  <c r="P120" i="79"/>
  <c r="C138" i="114"/>
  <c r="E138" i="114"/>
  <c r="B139" i="114"/>
  <c r="D138" i="114"/>
  <c r="E120" i="79"/>
  <c r="D120" i="79" s="1"/>
  <c r="C121" i="79"/>
  <c r="K121" i="79"/>
  <c r="J121" i="79" s="1"/>
  <c r="I122" i="79"/>
  <c r="V120" i="79"/>
  <c r="W120" i="79"/>
  <c r="U121" i="79"/>
  <c r="Q121" i="79" l="1"/>
  <c r="P121" i="79"/>
  <c r="O122" i="79"/>
  <c r="E139" i="114"/>
  <c r="D139" i="114"/>
  <c r="C139" i="114"/>
  <c r="B140" i="114"/>
  <c r="K122" i="79"/>
  <c r="J122" i="79" s="1"/>
  <c r="I123" i="79"/>
  <c r="E121" i="79"/>
  <c r="D121" i="79" s="1"/>
  <c r="C122" i="79"/>
  <c r="V121" i="79"/>
  <c r="W121" i="79"/>
  <c r="U122" i="79"/>
  <c r="Q122" i="79" l="1"/>
  <c r="P122" i="79"/>
  <c r="O123" i="79"/>
  <c r="D140" i="114"/>
  <c r="B141" i="114"/>
  <c r="C140" i="114"/>
  <c r="E140" i="114"/>
  <c r="K123" i="79"/>
  <c r="J123" i="79" s="1"/>
  <c r="I124" i="79"/>
  <c r="W122" i="79"/>
  <c r="V122" i="79"/>
  <c r="U123" i="79"/>
  <c r="E122" i="79"/>
  <c r="D122" i="79" s="1"/>
  <c r="C123" i="79"/>
  <c r="O124" i="79" l="1"/>
  <c r="Q123" i="79"/>
  <c r="P123" i="79"/>
  <c r="E141" i="114"/>
  <c r="B142" i="114"/>
  <c r="C141" i="114"/>
  <c r="D141" i="114"/>
  <c r="W123" i="79"/>
  <c r="V123" i="79"/>
  <c r="U124" i="79"/>
  <c r="K124" i="79"/>
  <c r="J124" i="79" s="1"/>
  <c r="I125" i="79"/>
  <c r="E123" i="79"/>
  <c r="D123" i="79" s="1"/>
  <c r="C124" i="79"/>
  <c r="P124" i="79" l="1"/>
  <c r="Q124" i="79"/>
  <c r="O125" i="79"/>
  <c r="E142" i="114"/>
  <c r="C142" i="114"/>
  <c r="B143" i="114"/>
  <c r="D142" i="114"/>
  <c r="V124" i="79"/>
  <c r="W124" i="79"/>
  <c r="U125" i="79"/>
  <c r="E124" i="79"/>
  <c r="D124" i="79" s="1"/>
  <c r="C125" i="79"/>
  <c r="K125" i="79"/>
  <c r="J125" i="79" s="1"/>
  <c r="I126" i="79"/>
  <c r="O126" i="79" l="1"/>
  <c r="Q125" i="79"/>
  <c r="P125" i="79"/>
  <c r="B144" i="114"/>
  <c r="E143" i="114"/>
  <c r="C143" i="114"/>
  <c r="D143" i="114"/>
  <c r="K126" i="79"/>
  <c r="J126" i="79" s="1"/>
  <c r="I127" i="79"/>
  <c r="E125" i="79"/>
  <c r="D125" i="79" s="1"/>
  <c r="C126" i="79"/>
  <c r="V125" i="79"/>
  <c r="W125" i="79"/>
  <c r="U126" i="79"/>
  <c r="P126" i="79" l="1"/>
  <c r="Q126" i="79"/>
  <c r="O127" i="79"/>
  <c r="B145" i="114"/>
  <c r="C144" i="114"/>
  <c r="E144" i="114"/>
  <c r="D144" i="114"/>
  <c r="E126" i="79"/>
  <c r="D126" i="79" s="1"/>
  <c r="C127" i="79"/>
  <c r="K127" i="79"/>
  <c r="J127" i="79" s="1"/>
  <c r="I128" i="79"/>
  <c r="V126" i="79"/>
  <c r="W126" i="79"/>
  <c r="U127" i="79"/>
  <c r="Q127" i="79" l="1"/>
  <c r="O128" i="79"/>
  <c r="P127" i="79"/>
  <c r="D145" i="114"/>
  <c r="E145" i="114"/>
  <c r="B146" i="114"/>
  <c r="C145" i="114"/>
  <c r="K128" i="79"/>
  <c r="J128" i="79" s="1"/>
  <c r="I129" i="79"/>
  <c r="E127" i="79"/>
  <c r="D127" i="79" s="1"/>
  <c r="C128" i="79"/>
  <c r="V127" i="79"/>
  <c r="W127" i="79"/>
  <c r="U128" i="79"/>
  <c r="P128" i="79" l="1"/>
  <c r="O129" i="79"/>
  <c r="Q128" i="79"/>
  <c r="C146" i="114"/>
  <c r="D146" i="114"/>
  <c r="E146" i="114"/>
  <c r="B147" i="114"/>
  <c r="W128" i="79"/>
  <c r="V128" i="79"/>
  <c r="U129" i="79"/>
  <c r="K129" i="79"/>
  <c r="J129" i="79" s="1"/>
  <c r="I130" i="79"/>
  <c r="E128" i="79"/>
  <c r="D128" i="79" s="1"/>
  <c r="C129" i="79"/>
  <c r="O130" i="79" l="1"/>
  <c r="Q129" i="79"/>
  <c r="P129" i="79"/>
  <c r="E147" i="114"/>
  <c r="D147" i="114"/>
  <c r="C147" i="114"/>
  <c r="B148" i="114"/>
  <c r="W129" i="79"/>
  <c r="V129" i="79"/>
  <c r="U130" i="79"/>
  <c r="E129" i="79"/>
  <c r="D129" i="79" s="1"/>
  <c r="C130" i="79"/>
  <c r="K130" i="79"/>
  <c r="J130" i="79" s="1"/>
  <c r="I131" i="79"/>
  <c r="O131" i="79" l="1"/>
  <c r="Q130" i="79"/>
  <c r="P130" i="79"/>
  <c r="B149" i="114"/>
  <c r="C148" i="114"/>
  <c r="E148" i="114"/>
  <c r="D148" i="114"/>
  <c r="J131" i="79"/>
  <c r="K131" i="79"/>
  <c r="I132" i="79"/>
  <c r="E130" i="79"/>
  <c r="D130" i="79" s="1"/>
  <c r="C131" i="79"/>
  <c r="W130" i="79"/>
  <c r="V130" i="79"/>
  <c r="U131" i="79"/>
  <c r="Q131" i="79" l="1"/>
  <c r="P131" i="79"/>
  <c r="O132" i="79"/>
  <c r="C149" i="114"/>
  <c r="E149" i="114"/>
  <c r="B150" i="114"/>
  <c r="D149" i="114"/>
  <c r="E131" i="79"/>
  <c r="D131" i="79" s="1"/>
  <c r="C132" i="79"/>
  <c r="K132" i="79"/>
  <c r="J132" i="79" s="1"/>
  <c r="I133" i="79"/>
  <c r="W131" i="79"/>
  <c r="V131" i="79"/>
  <c r="U132" i="79"/>
  <c r="P132" i="79" l="1"/>
  <c r="Q132" i="79"/>
  <c r="O133" i="79"/>
  <c r="D150" i="114"/>
  <c r="B151" i="114"/>
  <c r="C150" i="114"/>
  <c r="E150" i="114"/>
  <c r="K133" i="79"/>
  <c r="J133" i="79" s="1"/>
  <c r="I134" i="79"/>
  <c r="V132" i="79"/>
  <c r="W132" i="79"/>
  <c r="U133" i="79"/>
  <c r="E132" i="79"/>
  <c r="D132" i="79" s="1"/>
  <c r="C133" i="79"/>
  <c r="Q133" i="79" l="1"/>
  <c r="P133" i="79"/>
  <c r="O134" i="79"/>
  <c r="B152" i="114"/>
  <c r="E151" i="114"/>
  <c r="D151" i="114"/>
  <c r="C151" i="114"/>
  <c r="E133" i="79"/>
  <c r="D133" i="79" s="1"/>
  <c r="C134" i="79"/>
  <c r="K134" i="79"/>
  <c r="J134" i="79" s="1"/>
  <c r="I135" i="79"/>
  <c r="V133" i="79"/>
  <c r="W133" i="79"/>
  <c r="U134" i="79"/>
  <c r="Q134" i="79" l="1"/>
  <c r="P134" i="79"/>
  <c r="O135" i="79"/>
  <c r="D152" i="114"/>
  <c r="C152" i="114"/>
  <c r="E152" i="114"/>
  <c r="B153" i="114"/>
  <c r="V134" i="79"/>
  <c r="W134" i="79"/>
  <c r="U135" i="79"/>
  <c r="K135" i="79"/>
  <c r="J135" i="79" s="1"/>
  <c r="I136" i="79"/>
  <c r="E134" i="79"/>
  <c r="D134" i="79" s="1"/>
  <c r="C135" i="79"/>
  <c r="P135" i="79" l="1"/>
  <c r="Q135" i="79"/>
  <c r="O136" i="79"/>
  <c r="B154" i="114"/>
  <c r="C153" i="114"/>
  <c r="D153" i="114"/>
  <c r="E153" i="114"/>
  <c r="W135" i="79"/>
  <c r="V135" i="79"/>
  <c r="U136" i="79"/>
  <c r="E135" i="79"/>
  <c r="D135" i="79" s="1"/>
  <c r="C136" i="79"/>
  <c r="K136" i="79"/>
  <c r="J136" i="79" s="1"/>
  <c r="I137" i="79"/>
  <c r="O137" i="79" l="1"/>
  <c r="P136" i="79"/>
  <c r="Q136" i="79"/>
  <c r="E154" i="114"/>
  <c r="B155" i="114"/>
  <c r="C154" i="114"/>
  <c r="D154" i="114"/>
  <c r="E136" i="79"/>
  <c r="D136" i="79" s="1"/>
  <c r="C137" i="79"/>
  <c r="K137" i="79"/>
  <c r="J137" i="79" s="1"/>
  <c r="I138" i="79"/>
  <c r="W136" i="79"/>
  <c r="V136" i="79"/>
  <c r="U137" i="79"/>
  <c r="Q137" i="79" l="1"/>
  <c r="P137" i="79"/>
  <c r="O138" i="79"/>
  <c r="D155" i="114"/>
  <c r="C155" i="114"/>
  <c r="B156" i="114"/>
  <c r="E155" i="114"/>
  <c r="E137" i="79"/>
  <c r="D137" i="79" s="1"/>
  <c r="C138" i="79"/>
  <c r="K138" i="79"/>
  <c r="J138" i="79" s="1"/>
  <c r="I139" i="79"/>
  <c r="V137" i="79"/>
  <c r="W137" i="79"/>
  <c r="U138" i="79"/>
  <c r="P138" i="79" l="1"/>
  <c r="Q138" i="79"/>
  <c r="O139" i="79"/>
  <c r="C156" i="114"/>
  <c r="B157" i="114"/>
  <c r="E156" i="114"/>
  <c r="D156" i="114"/>
  <c r="E138" i="79"/>
  <c r="D138" i="79" s="1"/>
  <c r="C139" i="79"/>
  <c r="K139" i="79"/>
  <c r="J139" i="79" s="1"/>
  <c r="I140" i="79"/>
  <c r="V138" i="79"/>
  <c r="W138" i="79"/>
  <c r="U139" i="79"/>
  <c r="P139" i="79" l="1"/>
  <c r="O140" i="79"/>
  <c r="Q139" i="79"/>
  <c r="D157" i="114"/>
  <c r="B158" i="114"/>
  <c r="C157" i="114"/>
  <c r="E157" i="114"/>
  <c r="E139" i="79"/>
  <c r="D139" i="79" s="1"/>
  <c r="C140" i="79"/>
  <c r="V139" i="79"/>
  <c r="W139" i="79"/>
  <c r="U140" i="79"/>
  <c r="K140" i="79"/>
  <c r="J140" i="79" s="1"/>
  <c r="I141" i="79"/>
  <c r="O141" i="79" l="1"/>
  <c r="Q140" i="79"/>
  <c r="P140" i="79"/>
  <c r="C158" i="114"/>
  <c r="D158" i="114"/>
  <c r="B159" i="114"/>
  <c r="E158" i="114"/>
  <c r="E140" i="79"/>
  <c r="D140" i="79" s="1"/>
  <c r="C141" i="79"/>
  <c r="K141" i="79"/>
  <c r="J141" i="79" s="1"/>
  <c r="I142" i="79"/>
  <c r="W140" i="79"/>
  <c r="V140" i="79"/>
  <c r="U141" i="79"/>
  <c r="O142" i="79" l="1"/>
  <c r="Q141" i="79"/>
  <c r="P141" i="79"/>
  <c r="C159" i="114"/>
  <c r="E159" i="114"/>
  <c r="B160" i="114"/>
  <c r="D159" i="114"/>
  <c r="W141" i="79"/>
  <c r="V141" i="79"/>
  <c r="U142" i="79"/>
  <c r="E141" i="79"/>
  <c r="D141" i="79" s="1"/>
  <c r="C142" i="79"/>
  <c r="K142" i="79"/>
  <c r="J142" i="79" s="1"/>
  <c r="I143" i="79"/>
  <c r="Q142" i="79" l="1"/>
  <c r="P142" i="79"/>
  <c r="O143" i="79"/>
  <c r="C160" i="114"/>
  <c r="B161" i="114"/>
  <c r="E160" i="114"/>
  <c r="D160" i="114"/>
  <c r="W142" i="79"/>
  <c r="V142" i="79"/>
  <c r="U143" i="79"/>
  <c r="K143" i="79"/>
  <c r="J143" i="79" s="1"/>
  <c r="I144" i="79"/>
  <c r="E142" i="79"/>
  <c r="D142" i="79" s="1"/>
  <c r="C143" i="79"/>
  <c r="Q143" i="79" l="1"/>
  <c r="P143" i="79"/>
  <c r="O144" i="79"/>
  <c r="D161" i="114"/>
  <c r="E161" i="114"/>
  <c r="B162" i="114"/>
  <c r="C161" i="114"/>
  <c r="K144" i="79"/>
  <c r="J144" i="79" s="1"/>
  <c r="I145" i="79"/>
  <c r="E143" i="79"/>
  <c r="D143" i="79" s="1"/>
  <c r="C144" i="79"/>
  <c r="W143" i="79"/>
  <c r="V143" i="79"/>
  <c r="U144" i="79"/>
  <c r="Q144" i="79" l="1"/>
  <c r="P144" i="79"/>
  <c r="O145" i="79"/>
  <c r="D162" i="114"/>
  <c r="C162" i="114"/>
  <c r="E162" i="114"/>
  <c r="B163" i="114"/>
  <c r="J145" i="79"/>
  <c r="K145" i="79"/>
  <c r="I146" i="79"/>
  <c r="V144" i="79"/>
  <c r="W144" i="79"/>
  <c r="U145" i="79"/>
  <c r="E144" i="79"/>
  <c r="D144" i="79" s="1"/>
  <c r="C145" i="79"/>
  <c r="Q145" i="79" l="1"/>
  <c r="P145" i="79"/>
  <c r="O146" i="79"/>
  <c r="D163" i="114"/>
  <c r="C163" i="114"/>
  <c r="B164" i="114"/>
  <c r="E163" i="114"/>
  <c r="V145" i="79"/>
  <c r="W145" i="79"/>
  <c r="U146" i="79"/>
  <c r="E145" i="79"/>
  <c r="D145" i="79" s="1"/>
  <c r="C146" i="79"/>
  <c r="K146" i="79"/>
  <c r="J146" i="79" s="1"/>
  <c r="I147" i="79"/>
  <c r="O147" i="79" l="1"/>
  <c r="P146" i="79"/>
  <c r="Q146" i="79"/>
  <c r="D164" i="114"/>
  <c r="C164" i="114"/>
  <c r="B165" i="114"/>
  <c r="E164" i="114"/>
  <c r="K147" i="79"/>
  <c r="J147" i="79" s="1"/>
  <c r="I148" i="79"/>
  <c r="V146" i="79"/>
  <c r="W146" i="79"/>
  <c r="U147" i="79"/>
  <c r="E146" i="79"/>
  <c r="D146" i="79" s="1"/>
  <c r="C147" i="79"/>
  <c r="Q147" i="79" l="1"/>
  <c r="P147" i="79"/>
  <c r="O148" i="79"/>
  <c r="E165" i="114"/>
  <c r="B166" i="114"/>
  <c r="D165" i="114"/>
  <c r="C165" i="114"/>
  <c r="E147" i="79"/>
  <c r="D147" i="79" s="1"/>
  <c r="C148" i="79"/>
  <c r="K148" i="79"/>
  <c r="J148" i="79" s="1"/>
  <c r="I149" i="79"/>
  <c r="V147" i="79"/>
  <c r="W147" i="79"/>
  <c r="U148" i="79"/>
  <c r="Q148" i="79" l="1"/>
  <c r="P148" i="79"/>
  <c r="O149" i="79"/>
  <c r="E166" i="114"/>
  <c r="B167" i="114"/>
  <c r="C166" i="114"/>
  <c r="D166" i="114"/>
  <c r="V148" i="79"/>
  <c r="W148" i="79"/>
  <c r="U149" i="79"/>
  <c r="E148" i="79"/>
  <c r="D148" i="79" s="1"/>
  <c r="C149" i="79"/>
  <c r="K149" i="79"/>
  <c r="J149" i="79" s="1"/>
  <c r="I150" i="79"/>
  <c r="Q149" i="79" l="1"/>
  <c r="P149" i="79"/>
  <c r="O150" i="79"/>
  <c r="C167" i="114"/>
  <c r="D167" i="114"/>
  <c r="E167" i="114"/>
  <c r="B168" i="114"/>
  <c r="K150" i="79"/>
  <c r="J150" i="79" s="1"/>
  <c r="I151" i="79"/>
  <c r="W149" i="79"/>
  <c r="V149" i="79"/>
  <c r="U150" i="79"/>
  <c r="E149" i="79"/>
  <c r="D149" i="79" s="1"/>
  <c r="C150" i="79"/>
  <c r="O151" i="79" l="1"/>
  <c r="P150" i="79"/>
  <c r="Q150" i="79"/>
  <c r="B169" i="114"/>
  <c r="D168" i="114"/>
  <c r="E168" i="114"/>
  <c r="C168" i="114"/>
  <c r="E150" i="79"/>
  <c r="D150" i="79" s="1"/>
  <c r="C151" i="79"/>
  <c r="K151" i="79"/>
  <c r="J151" i="79" s="1"/>
  <c r="I152" i="79"/>
  <c r="W150" i="79"/>
  <c r="V150" i="79"/>
  <c r="U151" i="79"/>
  <c r="Q151" i="79" l="1"/>
  <c r="P151" i="79"/>
  <c r="O152" i="79"/>
  <c r="D169" i="114"/>
  <c r="B170" i="114"/>
  <c r="C169" i="114"/>
  <c r="E169" i="114"/>
  <c r="E151" i="79"/>
  <c r="D151" i="79" s="1"/>
  <c r="C152" i="79"/>
  <c r="W151" i="79"/>
  <c r="V151" i="79"/>
  <c r="U152" i="79"/>
  <c r="K152" i="79"/>
  <c r="J152" i="79" s="1"/>
  <c r="I153" i="79"/>
  <c r="O153" i="79" l="1"/>
  <c r="P152" i="79"/>
  <c r="Q152" i="79"/>
  <c r="B171" i="114"/>
  <c r="C170" i="114"/>
  <c r="E170" i="114"/>
  <c r="D170" i="114"/>
  <c r="W152" i="79"/>
  <c r="V152" i="79"/>
  <c r="U153" i="79"/>
  <c r="E152" i="79"/>
  <c r="D152" i="79" s="1"/>
  <c r="C153" i="79"/>
  <c r="K153" i="79"/>
  <c r="J153" i="79" s="1"/>
  <c r="I154" i="79"/>
  <c r="O154" i="79" l="1"/>
  <c r="Q153" i="79"/>
  <c r="P153" i="79"/>
  <c r="B172" i="114"/>
  <c r="D171" i="114"/>
  <c r="C171" i="114"/>
  <c r="E171" i="114"/>
  <c r="W153" i="79"/>
  <c r="V153" i="79"/>
  <c r="U154" i="79"/>
  <c r="K154" i="79"/>
  <c r="J154" i="79" s="1"/>
  <c r="I155" i="79"/>
  <c r="E153" i="79"/>
  <c r="D153" i="79" s="1"/>
  <c r="C154" i="79"/>
  <c r="Q154" i="79" l="1"/>
  <c r="P154" i="79"/>
  <c r="O155" i="79"/>
  <c r="E172" i="114"/>
  <c r="C172" i="114"/>
  <c r="D172" i="114"/>
  <c r="B173" i="114"/>
  <c r="W154" i="79"/>
  <c r="V154" i="79"/>
  <c r="U155" i="79"/>
  <c r="E154" i="79"/>
  <c r="D154" i="79" s="1"/>
  <c r="C155" i="79"/>
  <c r="K155" i="79"/>
  <c r="J155" i="79" s="1"/>
  <c r="I156" i="79"/>
  <c r="O156" i="79" l="1"/>
  <c r="Q155" i="79"/>
  <c r="P155" i="79"/>
  <c r="E173" i="114"/>
  <c r="B174" i="114"/>
  <c r="C173" i="114"/>
  <c r="D173" i="114"/>
  <c r="W155" i="79"/>
  <c r="V155" i="79"/>
  <c r="U156" i="79"/>
  <c r="K156" i="79"/>
  <c r="J156" i="79" s="1"/>
  <c r="I157" i="79"/>
  <c r="E155" i="79"/>
  <c r="D155" i="79" s="1"/>
  <c r="C156" i="79"/>
  <c r="P156" i="79" l="1"/>
  <c r="O157" i="79"/>
  <c r="Q156" i="79"/>
  <c r="B175" i="114"/>
  <c r="D174" i="114"/>
  <c r="C174" i="114"/>
  <c r="E174" i="114"/>
  <c r="E156" i="79"/>
  <c r="D156" i="79" s="1"/>
  <c r="C157" i="79"/>
  <c r="W156" i="79"/>
  <c r="V156" i="79"/>
  <c r="U157" i="79"/>
  <c r="K157" i="79"/>
  <c r="J157" i="79" s="1"/>
  <c r="I158" i="79"/>
  <c r="O158" i="79" l="1"/>
  <c r="Q157" i="79"/>
  <c r="P157" i="79"/>
  <c r="E175" i="114"/>
  <c r="B176" i="114"/>
  <c r="C175" i="114"/>
  <c r="D175" i="114"/>
  <c r="J158" i="79"/>
  <c r="K158" i="79"/>
  <c r="I159" i="79"/>
  <c r="V157" i="79"/>
  <c r="W157" i="79"/>
  <c r="U158" i="79"/>
  <c r="E157" i="79"/>
  <c r="D157" i="79" s="1"/>
  <c r="C158" i="79"/>
  <c r="P158" i="79" l="1"/>
  <c r="Q158" i="79"/>
  <c r="O159" i="79"/>
  <c r="D176" i="114"/>
  <c r="E176" i="114"/>
  <c r="C176" i="114"/>
  <c r="B177" i="114"/>
  <c r="J159" i="79"/>
  <c r="K159" i="79"/>
  <c r="I160" i="79"/>
  <c r="E158" i="79"/>
  <c r="D158" i="79" s="1"/>
  <c r="C159" i="79"/>
  <c r="V158" i="79"/>
  <c r="W158" i="79"/>
  <c r="U159" i="79"/>
  <c r="Q159" i="79" l="1"/>
  <c r="O160" i="79"/>
  <c r="P159" i="79"/>
  <c r="D177" i="114"/>
  <c r="E177" i="114"/>
  <c r="B178" i="114"/>
  <c r="C177" i="114"/>
  <c r="E159" i="79"/>
  <c r="D159" i="79" s="1"/>
  <c r="C160" i="79"/>
  <c r="K160" i="79"/>
  <c r="J160" i="79" s="1"/>
  <c r="I161" i="79"/>
  <c r="V159" i="79"/>
  <c r="W159" i="79"/>
  <c r="U160" i="79"/>
  <c r="Q160" i="79" l="1"/>
  <c r="P160" i="79"/>
  <c r="O161" i="79"/>
  <c r="B179" i="114"/>
  <c r="D178" i="114"/>
  <c r="E178" i="114"/>
  <c r="C178" i="114"/>
  <c r="W160" i="79"/>
  <c r="V160" i="79"/>
  <c r="U161" i="79"/>
  <c r="E160" i="79"/>
  <c r="D160" i="79" s="1"/>
  <c r="C161" i="79"/>
  <c r="K161" i="79"/>
  <c r="J161" i="79" s="1"/>
  <c r="I162" i="79"/>
  <c r="P161" i="79" l="1"/>
  <c r="Q161" i="79"/>
  <c r="O162" i="79"/>
  <c r="E179" i="114"/>
  <c r="D179" i="114"/>
  <c r="C179" i="114"/>
  <c r="B180" i="114"/>
  <c r="K162" i="79"/>
  <c r="J162" i="79" s="1"/>
  <c r="I163" i="79"/>
  <c r="E161" i="79"/>
  <c r="D161" i="79" s="1"/>
  <c r="C162" i="79"/>
  <c r="W161" i="79"/>
  <c r="V161" i="79"/>
  <c r="U162" i="79"/>
  <c r="O163" i="79" l="1"/>
  <c r="P162" i="79"/>
  <c r="Q162" i="79"/>
  <c r="D180" i="114"/>
  <c r="E180" i="114"/>
  <c r="C180" i="114"/>
  <c r="B181" i="114"/>
  <c r="W162" i="79"/>
  <c r="V162" i="79"/>
  <c r="U163" i="79"/>
  <c r="E162" i="79"/>
  <c r="D162" i="79" s="1"/>
  <c r="C163" i="79"/>
  <c r="K163" i="79"/>
  <c r="J163" i="79" s="1"/>
  <c r="I164" i="79"/>
  <c r="Q163" i="79" l="1"/>
  <c r="P163" i="79"/>
  <c r="O164" i="79"/>
  <c r="C181" i="114"/>
  <c r="D181" i="114"/>
  <c r="E181" i="114"/>
  <c r="B182" i="114"/>
  <c r="V163" i="79"/>
  <c r="W163" i="79"/>
  <c r="U164" i="79"/>
  <c r="K164" i="79"/>
  <c r="J164" i="79" s="1"/>
  <c r="I165" i="79"/>
  <c r="E163" i="79"/>
  <c r="D163" i="79" s="1"/>
  <c r="C164" i="79"/>
  <c r="Q164" i="79" l="1"/>
  <c r="P164" i="79"/>
  <c r="O165" i="79"/>
  <c r="B183" i="114"/>
  <c r="E182" i="114"/>
  <c r="D182" i="114"/>
  <c r="C182" i="114"/>
  <c r="K165" i="79"/>
  <c r="J165" i="79" s="1"/>
  <c r="I166" i="79"/>
  <c r="W164" i="79"/>
  <c r="V164" i="79"/>
  <c r="U165" i="79"/>
  <c r="E164" i="79"/>
  <c r="D164" i="79" s="1"/>
  <c r="C165" i="79"/>
  <c r="P165" i="79" l="1"/>
  <c r="Q165" i="79"/>
  <c r="O166" i="79"/>
  <c r="B184" i="114"/>
  <c r="E183" i="114"/>
  <c r="D183" i="114"/>
  <c r="C183" i="114"/>
  <c r="W165" i="79"/>
  <c r="V165" i="79"/>
  <c r="U166" i="79"/>
  <c r="E165" i="79"/>
  <c r="D165" i="79" s="1"/>
  <c r="C166" i="79"/>
  <c r="K166" i="79"/>
  <c r="J166" i="79" s="1"/>
  <c r="I167" i="79"/>
  <c r="P166" i="79" l="1"/>
  <c r="Q166" i="79"/>
  <c r="O167" i="79"/>
  <c r="D184" i="114"/>
  <c r="C184" i="114"/>
  <c r="B185" i="114"/>
  <c r="E184" i="114"/>
  <c r="V166" i="79"/>
  <c r="W166" i="79"/>
  <c r="U167" i="79"/>
  <c r="K167" i="79"/>
  <c r="J167" i="79" s="1"/>
  <c r="I168" i="79"/>
  <c r="E166" i="79"/>
  <c r="D166" i="79" s="1"/>
  <c r="C167" i="79"/>
  <c r="O168" i="79" l="1"/>
  <c r="Q167" i="79"/>
  <c r="P167" i="79"/>
  <c r="E185" i="114"/>
  <c r="B186" i="114"/>
  <c r="D185" i="114"/>
  <c r="C185" i="114"/>
  <c r="E167" i="79"/>
  <c r="D167" i="79" s="1"/>
  <c r="C168" i="79"/>
  <c r="V167" i="79"/>
  <c r="W167" i="79"/>
  <c r="U168" i="79"/>
  <c r="K168" i="79"/>
  <c r="J168" i="79" s="1"/>
  <c r="I169" i="79"/>
  <c r="O169" i="79" l="1"/>
  <c r="P168" i="79"/>
  <c r="Q168" i="79"/>
  <c r="B187" i="114"/>
  <c r="C186" i="114"/>
  <c r="E186" i="114"/>
  <c r="D186" i="114"/>
  <c r="E168" i="79"/>
  <c r="D168" i="79" s="1"/>
  <c r="C169" i="79"/>
  <c r="K169" i="79"/>
  <c r="J169" i="79" s="1"/>
  <c r="I170" i="79"/>
  <c r="W168" i="79"/>
  <c r="V168" i="79"/>
  <c r="U169" i="79"/>
  <c r="Q169" i="79" l="1"/>
  <c r="P169" i="79"/>
  <c r="O170" i="79"/>
  <c r="B188" i="114"/>
  <c r="C187" i="114"/>
  <c r="D187" i="114"/>
  <c r="E187" i="114"/>
  <c r="K170" i="79"/>
  <c r="J170" i="79" s="1"/>
  <c r="I171" i="79"/>
  <c r="E169" i="79"/>
  <c r="D169" i="79" s="1"/>
  <c r="C170" i="79"/>
  <c r="W169" i="79"/>
  <c r="V169" i="79"/>
  <c r="U170" i="79"/>
  <c r="P170" i="79" l="1"/>
  <c r="Q170" i="79"/>
  <c r="O171" i="79"/>
  <c r="D188" i="114"/>
  <c r="B189" i="114"/>
  <c r="E188" i="114"/>
  <c r="C188" i="114"/>
  <c r="E170" i="79"/>
  <c r="D170" i="79" s="1"/>
  <c r="C171" i="79"/>
  <c r="K171" i="79"/>
  <c r="J171" i="79" s="1"/>
  <c r="I172" i="79"/>
  <c r="V170" i="79"/>
  <c r="W170" i="79"/>
  <c r="U171" i="79"/>
  <c r="Q171" i="79" l="1"/>
  <c r="P171" i="79"/>
  <c r="O172" i="79"/>
  <c r="C189" i="114"/>
  <c r="E189" i="114"/>
  <c r="D189" i="114"/>
  <c r="B190" i="114"/>
  <c r="W171" i="79"/>
  <c r="V171" i="79"/>
  <c r="U172" i="79"/>
  <c r="E171" i="79"/>
  <c r="D171" i="79" s="1"/>
  <c r="C172" i="79"/>
  <c r="K172" i="79"/>
  <c r="J172" i="79" s="1"/>
  <c r="I173" i="79"/>
  <c r="Q172" i="79" l="1"/>
  <c r="P172" i="79"/>
  <c r="O173" i="79"/>
  <c r="B191" i="114"/>
  <c r="E190" i="114"/>
  <c r="D190" i="114"/>
  <c r="C190" i="114"/>
  <c r="V172" i="79"/>
  <c r="W172" i="79"/>
  <c r="U173" i="79"/>
  <c r="K173" i="79"/>
  <c r="J173" i="79" s="1"/>
  <c r="I174" i="79"/>
  <c r="E172" i="79"/>
  <c r="D172" i="79" s="1"/>
  <c r="C173" i="79"/>
  <c r="O174" i="79" l="1"/>
  <c r="P173" i="79"/>
  <c r="Q173" i="79"/>
  <c r="E191" i="114"/>
  <c r="D191" i="114"/>
  <c r="B192" i="114"/>
  <c r="C191" i="114"/>
  <c r="J174" i="79"/>
  <c r="K174" i="79"/>
  <c r="I175" i="79"/>
  <c r="E173" i="79"/>
  <c r="D173" i="79" s="1"/>
  <c r="C174" i="79"/>
  <c r="W173" i="79"/>
  <c r="V173" i="79"/>
  <c r="U174" i="79"/>
  <c r="Q174" i="79" l="1"/>
  <c r="P174" i="79"/>
  <c r="O175" i="79"/>
  <c r="C192" i="114"/>
  <c r="B193" i="114"/>
  <c r="D192" i="114"/>
  <c r="E192" i="114"/>
  <c r="W174" i="79"/>
  <c r="V174" i="79"/>
  <c r="U175" i="79"/>
  <c r="K175" i="79"/>
  <c r="J175" i="79" s="1"/>
  <c r="I176" i="79"/>
  <c r="E174" i="79"/>
  <c r="D174" i="79" s="1"/>
  <c r="C175" i="79"/>
  <c r="O176" i="79" l="1"/>
  <c r="P175" i="79"/>
  <c r="Q175" i="79"/>
  <c r="C193" i="114"/>
  <c r="B194" i="114"/>
  <c r="D193" i="114"/>
  <c r="E193" i="114"/>
  <c r="W175" i="79"/>
  <c r="V175" i="79"/>
  <c r="U176" i="79"/>
  <c r="E175" i="79"/>
  <c r="D175" i="79" s="1"/>
  <c r="C176" i="79"/>
  <c r="K176" i="79"/>
  <c r="J176" i="79" s="1"/>
  <c r="I177" i="79"/>
  <c r="P176" i="79" l="1"/>
  <c r="Q176" i="79"/>
  <c r="O177" i="79"/>
  <c r="B195" i="114"/>
  <c r="D194" i="114"/>
  <c r="C194" i="114"/>
  <c r="E194" i="114"/>
  <c r="J177" i="79"/>
  <c r="K177" i="79"/>
  <c r="I178" i="79"/>
  <c r="W176" i="79"/>
  <c r="V176" i="79"/>
  <c r="U177" i="79"/>
  <c r="E176" i="79"/>
  <c r="D176" i="79" s="1"/>
  <c r="C177" i="79"/>
  <c r="O178" i="79" l="1"/>
  <c r="Q177" i="79"/>
  <c r="P177" i="79"/>
  <c r="E195" i="114"/>
  <c r="B196" i="114"/>
  <c r="C195" i="114"/>
  <c r="D195" i="114"/>
  <c r="J178" i="79"/>
  <c r="K178" i="79"/>
  <c r="I179" i="79"/>
  <c r="E177" i="79"/>
  <c r="D177" i="79" s="1"/>
  <c r="C178" i="79"/>
  <c r="W177" i="79"/>
  <c r="V177" i="79"/>
  <c r="U178" i="79"/>
  <c r="P178" i="79" l="1"/>
  <c r="Q178" i="79"/>
  <c r="O179" i="79"/>
  <c r="C196" i="114"/>
  <c r="E196" i="114"/>
  <c r="D196" i="114"/>
  <c r="B197" i="114"/>
  <c r="W178" i="79"/>
  <c r="V178" i="79"/>
  <c r="U179" i="79"/>
  <c r="E178" i="79"/>
  <c r="D178" i="79" s="1"/>
  <c r="C179" i="79"/>
  <c r="K179" i="79"/>
  <c r="J179" i="79" s="1"/>
  <c r="I180" i="79"/>
  <c r="P179" i="79" l="1"/>
  <c r="Q179" i="79"/>
  <c r="O180" i="79"/>
  <c r="B198" i="114"/>
  <c r="E197" i="114"/>
  <c r="C197" i="114"/>
  <c r="D197" i="114"/>
  <c r="K180" i="79"/>
  <c r="J180" i="79" s="1"/>
  <c r="I181" i="79"/>
  <c r="V179" i="79"/>
  <c r="W179" i="79"/>
  <c r="U180" i="79"/>
  <c r="E179" i="79"/>
  <c r="D179" i="79" s="1"/>
  <c r="C180" i="79"/>
  <c r="O181" i="79" l="1"/>
  <c r="P180" i="79"/>
  <c r="Q180" i="79"/>
  <c r="C198" i="114"/>
  <c r="E198" i="114"/>
  <c r="D198" i="114"/>
  <c r="B199" i="114"/>
  <c r="K181" i="79"/>
  <c r="J181" i="79" s="1"/>
  <c r="I182" i="79"/>
  <c r="E180" i="79"/>
  <c r="D180" i="79" s="1"/>
  <c r="C181" i="79"/>
  <c r="V180" i="79"/>
  <c r="W180" i="79"/>
  <c r="U181" i="79"/>
  <c r="Q181" i="79" l="1"/>
  <c r="P181" i="79"/>
  <c r="O182" i="79"/>
  <c r="B200" i="114"/>
  <c r="D199" i="114"/>
  <c r="C199" i="114"/>
  <c r="E199" i="114"/>
  <c r="V181" i="79"/>
  <c r="W181" i="79"/>
  <c r="U182" i="79"/>
  <c r="E181" i="79"/>
  <c r="D181" i="79" s="1"/>
  <c r="C182" i="79"/>
  <c r="K182" i="79"/>
  <c r="J182" i="79" s="1"/>
  <c r="I183" i="79"/>
  <c r="O183" i="79" l="1"/>
  <c r="P182" i="79"/>
  <c r="Q182" i="79"/>
  <c r="D200" i="114"/>
  <c r="B201" i="114"/>
  <c r="E200" i="114"/>
  <c r="C200" i="114"/>
  <c r="E182" i="79"/>
  <c r="D182" i="79" s="1"/>
  <c r="C183" i="79"/>
  <c r="K183" i="79"/>
  <c r="J183" i="79" s="1"/>
  <c r="I184" i="79"/>
  <c r="W182" i="79"/>
  <c r="V182" i="79"/>
  <c r="U183" i="79"/>
  <c r="Q183" i="79" l="1"/>
  <c r="P183" i="79"/>
  <c r="O184" i="79"/>
  <c r="E201" i="114"/>
  <c r="D201" i="114"/>
  <c r="B202" i="114"/>
  <c r="C201" i="114"/>
  <c r="V183" i="79"/>
  <c r="W183" i="79"/>
  <c r="U184" i="79"/>
  <c r="K184" i="79"/>
  <c r="J184" i="79" s="1"/>
  <c r="I185" i="79"/>
  <c r="E183" i="79"/>
  <c r="D183" i="79" s="1"/>
  <c r="C184" i="79"/>
  <c r="O185" i="79" l="1"/>
  <c r="Q184" i="79"/>
  <c r="P184" i="79"/>
  <c r="C202" i="114"/>
  <c r="D202" i="114"/>
  <c r="E202" i="114"/>
  <c r="B203" i="114"/>
  <c r="E184" i="79"/>
  <c r="D184" i="79" s="1"/>
  <c r="C185" i="79"/>
  <c r="W184" i="79"/>
  <c r="V184" i="79"/>
  <c r="U185" i="79"/>
  <c r="K185" i="79"/>
  <c r="J185" i="79" s="1"/>
  <c r="I186" i="79"/>
  <c r="O186" i="79" l="1"/>
  <c r="P185" i="79"/>
  <c r="Q185" i="79"/>
  <c r="C203" i="114"/>
  <c r="D203" i="114"/>
  <c r="B204" i="114"/>
  <c r="E203" i="114"/>
  <c r="E185" i="79"/>
  <c r="D185" i="79" s="1"/>
  <c r="C186" i="79"/>
  <c r="K186" i="79"/>
  <c r="J186" i="79" s="1"/>
  <c r="I187" i="79"/>
  <c r="V185" i="79"/>
  <c r="W185" i="79"/>
  <c r="U186" i="79"/>
  <c r="O187" i="79" l="1"/>
  <c r="Q186" i="79"/>
  <c r="P186" i="79"/>
  <c r="B205" i="114"/>
  <c r="D204" i="114"/>
  <c r="E204" i="114"/>
  <c r="C204" i="114"/>
  <c r="E186" i="79"/>
  <c r="D186" i="79" s="1"/>
  <c r="C187" i="79"/>
  <c r="W186" i="79"/>
  <c r="V186" i="79"/>
  <c r="U187" i="79"/>
  <c r="K187" i="79"/>
  <c r="J187" i="79" s="1"/>
  <c r="I188" i="79"/>
  <c r="P187" i="79" l="1"/>
  <c r="O188" i="79"/>
  <c r="Q187" i="79"/>
  <c r="D205" i="114"/>
  <c r="B206" i="114"/>
  <c r="E205" i="114"/>
  <c r="C205" i="114"/>
  <c r="E187" i="79"/>
  <c r="D187" i="79" s="1"/>
  <c r="C188" i="79"/>
  <c r="K188" i="79"/>
  <c r="J188" i="79" s="1"/>
  <c r="I189" i="79"/>
  <c r="V187" i="79"/>
  <c r="W187" i="79"/>
  <c r="U188" i="79"/>
  <c r="O189" i="79" l="1"/>
  <c r="Q188" i="79"/>
  <c r="P188" i="79"/>
  <c r="B207" i="114"/>
  <c r="D206" i="114"/>
  <c r="C206" i="114"/>
  <c r="E206" i="114"/>
  <c r="W188" i="79"/>
  <c r="V188" i="79"/>
  <c r="U189" i="79"/>
  <c r="E188" i="79"/>
  <c r="D188" i="79" s="1"/>
  <c r="C189" i="79"/>
  <c r="K189" i="79"/>
  <c r="J189" i="79" s="1"/>
  <c r="I190" i="79"/>
  <c r="O190" i="79" l="1"/>
  <c r="P189" i="79"/>
  <c r="Q189" i="79"/>
  <c r="D207" i="114"/>
  <c r="C207" i="114"/>
  <c r="B208" i="114"/>
  <c r="E207" i="114"/>
  <c r="K190" i="79"/>
  <c r="J190" i="79" s="1"/>
  <c r="I191" i="79"/>
  <c r="V189" i="79"/>
  <c r="W189" i="79"/>
  <c r="U190" i="79"/>
  <c r="E189" i="79"/>
  <c r="D189" i="79" s="1"/>
  <c r="C190" i="79"/>
  <c r="O191" i="79" l="1"/>
  <c r="P190" i="79"/>
  <c r="Q190" i="79"/>
  <c r="B209" i="114"/>
  <c r="D208" i="114"/>
  <c r="E208" i="114"/>
  <c r="C208" i="114"/>
  <c r="E190" i="79"/>
  <c r="D190" i="79" s="1"/>
  <c r="C191" i="79"/>
  <c r="K191" i="79"/>
  <c r="J191" i="79" s="1"/>
  <c r="I192" i="79"/>
  <c r="V190" i="79"/>
  <c r="W190" i="79"/>
  <c r="U191" i="79"/>
  <c r="O192" i="79" l="1"/>
  <c r="Q191" i="79"/>
  <c r="P191" i="79"/>
  <c r="D209" i="114"/>
  <c r="C209" i="114"/>
  <c r="E209" i="114"/>
  <c r="B210" i="114"/>
  <c r="E191" i="79"/>
  <c r="D191" i="79" s="1"/>
  <c r="C192" i="79"/>
  <c r="W191" i="79"/>
  <c r="V191" i="79"/>
  <c r="U192" i="79"/>
  <c r="K192" i="79"/>
  <c r="J192" i="79" s="1"/>
  <c r="I193" i="79"/>
  <c r="P192" i="79" l="1"/>
  <c r="O193" i="79"/>
  <c r="Q192" i="79"/>
  <c r="D210" i="114"/>
  <c r="B211" i="114"/>
  <c r="C210" i="114"/>
  <c r="E210" i="114"/>
  <c r="K193" i="79"/>
  <c r="J193" i="79" s="1"/>
  <c r="I194" i="79"/>
  <c r="E192" i="79"/>
  <c r="D192" i="79" s="1"/>
  <c r="C193" i="79"/>
  <c r="W192" i="79"/>
  <c r="V192" i="79"/>
  <c r="U193" i="79"/>
  <c r="O194" i="79" l="1"/>
  <c r="Q193" i="79"/>
  <c r="P193" i="79"/>
  <c r="E211" i="114"/>
  <c r="B212" i="114"/>
  <c r="C211" i="114"/>
  <c r="D211" i="114"/>
  <c r="W193" i="79"/>
  <c r="V193" i="79"/>
  <c r="U194" i="79"/>
  <c r="K194" i="79"/>
  <c r="J194" i="79" s="1"/>
  <c r="I195" i="79"/>
  <c r="E193" i="79"/>
  <c r="D193" i="79" s="1"/>
  <c r="C194" i="79"/>
  <c r="O195" i="79" l="1"/>
  <c r="Q194" i="79"/>
  <c r="P194" i="79"/>
  <c r="E212" i="114"/>
  <c r="D212" i="114"/>
  <c r="B213" i="114"/>
  <c r="C212" i="114"/>
  <c r="E194" i="79"/>
  <c r="D194" i="79" s="1"/>
  <c r="C195" i="79"/>
  <c r="V194" i="79"/>
  <c r="W194" i="79"/>
  <c r="U195" i="79"/>
  <c r="K195" i="79"/>
  <c r="J195" i="79" s="1"/>
  <c r="I196" i="79"/>
  <c r="O196" i="79" l="1"/>
  <c r="Q195" i="79"/>
  <c r="P195" i="79"/>
  <c r="C213" i="114"/>
  <c r="D213" i="114"/>
  <c r="E213" i="114"/>
  <c r="B214" i="114"/>
  <c r="K196" i="79"/>
  <c r="J196" i="79" s="1"/>
  <c r="I197" i="79"/>
  <c r="E195" i="79"/>
  <c r="D195" i="79" s="1"/>
  <c r="C196" i="79"/>
  <c r="V195" i="79"/>
  <c r="W195" i="79"/>
  <c r="U196" i="79"/>
  <c r="O197" i="79" l="1"/>
  <c r="Q196" i="79"/>
  <c r="P196" i="79"/>
  <c r="E214" i="114"/>
  <c r="D214" i="114"/>
  <c r="C214" i="114"/>
  <c r="B215" i="114"/>
  <c r="K197" i="79"/>
  <c r="J197" i="79" s="1"/>
  <c r="I198" i="79"/>
  <c r="V196" i="79"/>
  <c r="W196" i="79"/>
  <c r="U197" i="79"/>
  <c r="E196" i="79"/>
  <c r="D196" i="79" s="1"/>
  <c r="C197" i="79"/>
  <c r="P197" i="79" l="1"/>
  <c r="O198" i="79"/>
  <c r="Q197" i="79"/>
  <c r="C215" i="114"/>
  <c r="E215" i="114"/>
  <c r="D215" i="114"/>
  <c r="B216" i="114"/>
  <c r="K198" i="79"/>
  <c r="J198" i="79" s="1"/>
  <c r="I199" i="79"/>
  <c r="E197" i="79"/>
  <c r="D197" i="79" s="1"/>
  <c r="C198" i="79"/>
  <c r="V197" i="79"/>
  <c r="W197" i="79"/>
  <c r="U198" i="79"/>
  <c r="O199" i="79" l="1"/>
  <c r="Q198" i="79"/>
  <c r="P198" i="79"/>
  <c r="B217" i="114"/>
  <c r="C216" i="114"/>
  <c r="E216" i="114"/>
  <c r="D216" i="114"/>
  <c r="W198" i="79"/>
  <c r="V198" i="79"/>
  <c r="U199" i="79"/>
  <c r="K199" i="79"/>
  <c r="J199" i="79" s="1"/>
  <c r="I200" i="79"/>
  <c r="E198" i="79"/>
  <c r="D198" i="79" s="1"/>
  <c r="C199" i="79"/>
  <c r="Q199" i="79" l="1"/>
  <c r="O200" i="79"/>
  <c r="P199" i="79"/>
  <c r="C217" i="114"/>
  <c r="E217" i="114"/>
  <c r="B218" i="114"/>
  <c r="D217" i="114"/>
  <c r="J200" i="79"/>
  <c r="K200" i="79"/>
  <c r="I201" i="79"/>
  <c r="V199" i="79"/>
  <c r="W199" i="79"/>
  <c r="U200" i="79"/>
  <c r="E199" i="79"/>
  <c r="D199" i="79" s="1"/>
  <c r="C200" i="79"/>
  <c r="Q200" i="79" l="1"/>
  <c r="P200" i="79"/>
  <c r="O201" i="79"/>
  <c r="E218" i="114"/>
  <c r="B219" i="114"/>
  <c r="D218" i="114"/>
  <c r="C218" i="114"/>
  <c r="K201" i="79"/>
  <c r="J201" i="79" s="1"/>
  <c r="I202" i="79"/>
  <c r="E200" i="79"/>
  <c r="D200" i="79" s="1"/>
  <c r="C201" i="79"/>
  <c r="V200" i="79"/>
  <c r="W200" i="79"/>
  <c r="U201" i="79"/>
  <c r="Q201" i="79" l="1"/>
  <c r="O202" i="79"/>
  <c r="P201" i="79"/>
  <c r="B220" i="114"/>
  <c r="C219" i="114"/>
  <c r="D219" i="114"/>
  <c r="E219" i="114"/>
  <c r="W201" i="79"/>
  <c r="V201" i="79"/>
  <c r="U202" i="79"/>
  <c r="E201" i="79"/>
  <c r="D201" i="79" s="1"/>
  <c r="C202" i="79"/>
  <c r="K202" i="79"/>
  <c r="J202" i="79" s="1"/>
  <c r="I203" i="79"/>
  <c r="Q202" i="79" l="1"/>
  <c r="O203" i="79"/>
  <c r="P202" i="79"/>
  <c r="B221" i="114"/>
  <c r="E220" i="114"/>
  <c r="C220" i="114"/>
  <c r="D220" i="114"/>
  <c r="K203" i="79"/>
  <c r="J203" i="79" s="1"/>
  <c r="I204" i="79"/>
  <c r="E202" i="79"/>
  <c r="D202" i="79" s="1"/>
  <c r="C203" i="79"/>
  <c r="V202" i="79"/>
  <c r="W202" i="79"/>
  <c r="U203" i="79"/>
  <c r="O204" i="79" l="1"/>
  <c r="P203" i="79"/>
  <c r="Q203" i="79"/>
  <c r="D221" i="114"/>
  <c r="B222" i="114"/>
  <c r="C221" i="114"/>
  <c r="E221" i="114"/>
  <c r="E203" i="79"/>
  <c r="D203" i="79" s="1"/>
  <c r="C204" i="79"/>
  <c r="K204" i="79"/>
  <c r="J204" i="79" s="1"/>
  <c r="I205" i="79"/>
  <c r="V203" i="79"/>
  <c r="W203" i="79"/>
  <c r="U204" i="79"/>
  <c r="O205" i="79" l="1"/>
  <c r="Q204" i="79"/>
  <c r="P204" i="79"/>
  <c r="E222" i="114"/>
  <c r="C222" i="114"/>
  <c r="D222" i="114"/>
  <c r="B223" i="114"/>
  <c r="K205" i="79"/>
  <c r="J205" i="79" s="1"/>
  <c r="I206" i="79"/>
  <c r="E204" i="79"/>
  <c r="D204" i="79" s="1"/>
  <c r="C205" i="79"/>
  <c r="W204" i="79"/>
  <c r="V204" i="79"/>
  <c r="U205" i="79"/>
  <c r="Q205" i="79" l="1"/>
  <c r="P205" i="79"/>
  <c r="O206" i="79"/>
  <c r="D223" i="114"/>
  <c r="E223" i="114"/>
  <c r="C223" i="114"/>
  <c r="B224" i="114"/>
  <c r="W205" i="79"/>
  <c r="V205" i="79"/>
  <c r="U206" i="79"/>
  <c r="K206" i="79"/>
  <c r="J206" i="79" s="1"/>
  <c r="I207" i="79"/>
  <c r="E205" i="79"/>
  <c r="D205" i="79" s="1"/>
  <c r="C206" i="79"/>
  <c r="Q206" i="79" l="1"/>
  <c r="P206" i="79"/>
  <c r="O207" i="79"/>
  <c r="D224" i="114"/>
  <c r="B225" i="114"/>
  <c r="E224" i="114"/>
  <c r="C224" i="114"/>
  <c r="V206" i="79"/>
  <c r="W206" i="79"/>
  <c r="U207" i="79"/>
  <c r="E206" i="79"/>
  <c r="D206" i="79" s="1"/>
  <c r="C207" i="79"/>
  <c r="K207" i="79"/>
  <c r="J207" i="79" s="1"/>
  <c r="I208" i="79"/>
  <c r="O208" i="79" l="1"/>
  <c r="Q207" i="79"/>
  <c r="P207" i="79"/>
  <c r="E225" i="114"/>
  <c r="C225" i="114"/>
  <c r="B226" i="114"/>
  <c r="D225" i="114"/>
  <c r="W207" i="79"/>
  <c r="V207" i="79"/>
  <c r="U208" i="79"/>
  <c r="E207" i="79"/>
  <c r="D207" i="79" s="1"/>
  <c r="C208" i="79"/>
  <c r="K208" i="79"/>
  <c r="J208" i="79" s="1"/>
  <c r="I209" i="79"/>
  <c r="P208" i="79" l="1"/>
  <c r="O209" i="79"/>
  <c r="Q208" i="79"/>
  <c r="C226" i="114"/>
  <c r="B227" i="114"/>
  <c r="E226" i="114"/>
  <c r="D226" i="114"/>
  <c r="E208" i="79"/>
  <c r="D208" i="79" s="1"/>
  <c r="C209" i="79"/>
  <c r="K209" i="79"/>
  <c r="J209" i="79" s="1"/>
  <c r="I210" i="79"/>
  <c r="V208" i="79"/>
  <c r="W208" i="79"/>
  <c r="U209" i="79"/>
  <c r="O210" i="79" l="1"/>
  <c r="Q209" i="79"/>
  <c r="P209" i="79"/>
  <c r="B228" i="114"/>
  <c r="D227" i="114"/>
  <c r="E227" i="114"/>
  <c r="C227" i="114"/>
  <c r="V209" i="79"/>
  <c r="W209" i="79"/>
  <c r="U210" i="79"/>
  <c r="K210" i="79"/>
  <c r="J210" i="79" s="1"/>
  <c r="I211" i="79"/>
  <c r="E209" i="79"/>
  <c r="D209" i="79" s="1"/>
  <c r="C210" i="79"/>
  <c r="O211" i="79" l="1"/>
  <c r="Q210" i="79"/>
  <c r="P210" i="79"/>
  <c r="C228" i="114"/>
  <c r="E228" i="114"/>
  <c r="D228" i="114"/>
  <c r="B229" i="114"/>
  <c r="E210" i="79"/>
  <c r="D210" i="79" s="1"/>
  <c r="C211" i="79"/>
  <c r="W210" i="79"/>
  <c r="V210" i="79"/>
  <c r="U211" i="79"/>
  <c r="K211" i="79"/>
  <c r="J211" i="79" s="1"/>
  <c r="I212" i="79"/>
  <c r="P211" i="79" l="1"/>
  <c r="Q211" i="79"/>
  <c r="O212" i="79"/>
  <c r="C229" i="114"/>
  <c r="D229" i="114"/>
  <c r="B230" i="114"/>
  <c r="E229" i="114"/>
  <c r="V211" i="79"/>
  <c r="W211" i="79"/>
  <c r="U212" i="79"/>
  <c r="E211" i="79"/>
  <c r="D211" i="79" s="1"/>
  <c r="C212" i="79"/>
  <c r="K212" i="79"/>
  <c r="J212" i="79" s="1"/>
  <c r="I213" i="79"/>
  <c r="Q212" i="79" l="1"/>
  <c r="O213" i="79"/>
  <c r="P212" i="79"/>
  <c r="B231" i="114"/>
  <c r="C230" i="114"/>
  <c r="E230" i="114"/>
  <c r="D230" i="114"/>
  <c r="K213" i="79"/>
  <c r="J213" i="79" s="1"/>
  <c r="I214" i="79"/>
  <c r="E212" i="79"/>
  <c r="D212" i="79" s="1"/>
  <c r="C213" i="79"/>
  <c r="W212" i="79"/>
  <c r="V212" i="79"/>
  <c r="U213" i="79"/>
  <c r="P213" i="79" l="1"/>
  <c r="Q213" i="79"/>
  <c r="O214" i="79"/>
  <c r="C231" i="114"/>
  <c r="B232" i="114"/>
  <c r="D231" i="114"/>
  <c r="E231" i="114"/>
  <c r="E213" i="79"/>
  <c r="D213" i="79" s="1"/>
  <c r="C214" i="79"/>
  <c r="W213" i="79"/>
  <c r="V213" i="79"/>
  <c r="U214" i="79"/>
  <c r="K214" i="79"/>
  <c r="J214" i="79" s="1"/>
  <c r="I215" i="79"/>
  <c r="P214" i="79" l="1"/>
  <c r="O215" i="79"/>
  <c r="Q214" i="79"/>
  <c r="D232" i="114"/>
  <c r="C232" i="114"/>
  <c r="E232" i="114"/>
  <c r="B233" i="114"/>
  <c r="K215" i="79"/>
  <c r="J215" i="79" s="1"/>
  <c r="I216" i="79"/>
  <c r="E214" i="79"/>
  <c r="D214" i="79" s="1"/>
  <c r="C215" i="79"/>
  <c r="W214" i="79"/>
  <c r="V214" i="79"/>
  <c r="U215" i="79"/>
  <c r="O216" i="79" l="1"/>
  <c r="P215" i="79"/>
  <c r="Q215" i="79"/>
  <c r="C233" i="114"/>
  <c r="E233" i="114"/>
  <c r="B234" i="114"/>
  <c r="D233" i="114"/>
  <c r="K216" i="79"/>
  <c r="J216" i="79" s="1"/>
  <c r="I217" i="79"/>
  <c r="V215" i="79"/>
  <c r="W215" i="79"/>
  <c r="U216" i="79"/>
  <c r="E215" i="79"/>
  <c r="D215" i="79" s="1"/>
  <c r="C216" i="79"/>
  <c r="Q216" i="79" l="1"/>
  <c r="P216" i="79"/>
  <c r="O217" i="79"/>
  <c r="D234" i="114"/>
  <c r="B235" i="114"/>
  <c r="C234" i="114"/>
  <c r="E234" i="114"/>
  <c r="E216" i="79"/>
  <c r="D216" i="79" s="1"/>
  <c r="C217" i="79"/>
  <c r="K217" i="79"/>
  <c r="J217" i="79" s="1"/>
  <c r="I218" i="79"/>
  <c r="W216" i="79"/>
  <c r="V216" i="79"/>
  <c r="U217" i="79"/>
  <c r="O218" i="79" l="1"/>
  <c r="Q217" i="79"/>
  <c r="P217" i="79"/>
  <c r="E235" i="114"/>
  <c r="C235" i="114"/>
  <c r="B236" i="114"/>
  <c r="D235" i="114"/>
  <c r="E217" i="79"/>
  <c r="D217" i="79" s="1"/>
  <c r="C218" i="79"/>
  <c r="W217" i="79"/>
  <c r="V217" i="79"/>
  <c r="U218" i="79"/>
  <c r="K218" i="79"/>
  <c r="J218" i="79" s="1"/>
  <c r="I219" i="79"/>
  <c r="P218" i="79" l="1"/>
  <c r="O219" i="79"/>
  <c r="Q218" i="79"/>
  <c r="B237" i="114"/>
  <c r="C236" i="114"/>
  <c r="E236" i="114"/>
  <c r="D236" i="114"/>
  <c r="V218" i="79"/>
  <c r="W218" i="79"/>
  <c r="U219" i="79"/>
  <c r="E218" i="79"/>
  <c r="D218" i="79" s="1"/>
  <c r="C219" i="79"/>
  <c r="K219" i="79"/>
  <c r="J219" i="79" s="1"/>
  <c r="I220" i="79"/>
  <c r="O220" i="79" l="1"/>
  <c r="P219" i="79"/>
  <c r="Q219" i="79"/>
  <c r="D237" i="114"/>
  <c r="C237" i="114"/>
  <c r="B238" i="114"/>
  <c r="E237" i="114"/>
  <c r="E219" i="79"/>
  <c r="D219" i="79" s="1"/>
  <c r="C220" i="79"/>
  <c r="W219" i="79"/>
  <c r="V219" i="79"/>
  <c r="U220" i="79"/>
  <c r="K220" i="79"/>
  <c r="J220" i="79" s="1"/>
  <c r="I221" i="79"/>
  <c r="Q220" i="79" l="1"/>
  <c r="O221" i="79"/>
  <c r="P220" i="79"/>
  <c r="C238" i="114"/>
  <c r="B239" i="114"/>
  <c r="D238" i="114"/>
  <c r="E238" i="114"/>
  <c r="E220" i="79"/>
  <c r="D220" i="79" s="1"/>
  <c r="C221" i="79"/>
  <c r="K221" i="79"/>
  <c r="J221" i="79" s="1"/>
  <c r="I222" i="79"/>
  <c r="V220" i="79"/>
  <c r="W220" i="79"/>
  <c r="U221" i="79"/>
  <c r="Q221" i="79" l="1"/>
  <c r="P221" i="79"/>
  <c r="O222" i="79"/>
  <c r="C239" i="114"/>
  <c r="E239" i="114"/>
  <c r="D239" i="114"/>
  <c r="B240" i="114"/>
  <c r="J222" i="79"/>
  <c r="K222" i="79"/>
  <c r="I223" i="79"/>
  <c r="W221" i="79"/>
  <c r="V221" i="79"/>
  <c r="U222" i="79"/>
  <c r="E221" i="79"/>
  <c r="D221" i="79" s="1"/>
  <c r="C222" i="79"/>
  <c r="O223" i="79" l="1"/>
  <c r="Q222" i="79"/>
  <c r="P222" i="79"/>
  <c r="D240" i="114"/>
  <c r="C240" i="114"/>
  <c r="E240" i="114"/>
  <c r="B241" i="114"/>
  <c r="J223" i="79"/>
  <c r="K223" i="79"/>
  <c r="I224" i="79"/>
  <c r="E222" i="79"/>
  <c r="D222" i="79" s="1"/>
  <c r="C223" i="79"/>
  <c r="W222" i="79"/>
  <c r="V222" i="79"/>
  <c r="U223" i="79"/>
  <c r="Q223" i="79" l="1"/>
  <c r="P223" i="79"/>
  <c r="O224" i="79"/>
  <c r="E241" i="114"/>
  <c r="B242" i="114"/>
  <c r="D241" i="114"/>
  <c r="C241" i="114"/>
  <c r="W223" i="79"/>
  <c r="V223" i="79"/>
  <c r="U224" i="79"/>
  <c r="K224" i="79"/>
  <c r="J224" i="79" s="1"/>
  <c r="I225" i="79"/>
  <c r="E223" i="79"/>
  <c r="D223" i="79" s="1"/>
  <c r="C224" i="79"/>
  <c r="Q224" i="79" l="1"/>
  <c r="P224" i="79"/>
  <c r="O225" i="79"/>
  <c r="D242" i="114"/>
  <c r="B243" i="114"/>
  <c r="C242" i="114"/>
  <c r="E242" i="114"/>
  <c r="E224" i="79"/>
  <c r="D224" i="79" s="1"/>
  <c r="C225" i="79"/>
  <c r="V224" i="79"/>
  <c r="W224" i="79"/>
  <c r="U225" i="79"/>
  <c r="K225" i="79"/>
  <c r="J225" i="79" s="1"/>
  <c r="I226" i="79"/>
  <c r="O226" i="79" l="1"/>
  <c r="P225" i="79"/>
  <c r="Q225" i="79"/>
  <c r="B244" i="114"/>
  <c r="D243" i="114"/>
  <c r="E243" i="114"/>
  <c r="C243" i="114"/>
  <c r="W225" i="79"/>
  <c r="V225" i="79"/>
  <c r="U226" i="79"/>
  <c r="E225" i="79"/>
  <c r="D225" i="79" s="1"/>
  <c r="C226" i="79"/>
  <c r="K226" i="79"/>
  <c r="J226" i="79" s="1"/>
  <c r="I227" i="79"/>
  <c r="Q226" i="79" l="1"/>
  <c r="P226" i="79"/>
  <c r="O227" i="79"/>
  <c r="D244" i="114"/>
  <c r="C244" i="114"/>
  <c r="B245" i="114"/>
  <c r="E244" i="114"/>
  <c r="V226" i="79"/>
  <c r="W226" i="79"/>
  <c r="U227" i="79"/>
  <c r="K227" i="79"/>
  <c r="J227" i="79" s="1"/>
  <c r="I228" i="79"/>
  <c r="E226" i="79"/>
  <c r="D226" i="79" s="1"/>
  <c r="C227" i="79"/>
  <c r="Q227" i="79" l="1"/>
  <c r="P227" i="79"/>
  <c r="O228" i="79"/>
  <c r="D245" i="114"/>
  <c r="C245" i="114"/>
  <c r="B246" i="114"/>
  <c r="E245" i="114"/>
  <c r="W227" i="79"/>
  <c r="V227" i="79"/>
  <c r="U228" i="79"/>
  <c r="E227" i="79"/>
  <c r="D227" i="79" s="1"/>
  <c r="C228" i="79"/>
  <c r="K228" i="79"/>
  <c r="J228" i="79" s="1"/>
  <c r="I229" i="79"/>
  <c r="O229" i="79" l="1"/>
  <c r="P228" i="79"/>
  <c r="Q228" i="79"/>
  <c r="B247" i="114"/>
  <c r="C246" i="114"/>
  <c r="E246" i="114"/>
  <c r="D246" i="114"/>
  <c r="W228" i="79"/>
  <c r="V228" i="79"/>
  <c r="U229" i="79"/>
  <c r="E228" i="79"/>
  <c r="D228" i="79" s="1"/>
  <c r="C229" i="79"/>
  <c r="K229" i="79"/>
  <c r="J229" i="79" s="1"/>
  <c r="I230" i="79"/>
  <c r="P229" i="79" l="1"/>
  <c r="Q229" i="79"/>
  <c r="O230" i="79"/>
  <c r="D247" i="114"/>
  <c r="B248" i="114"/>
  <c r="C247" i="114"/>
  <c r="E247" i="114"/>
  <c r="K230" i="79"/>
  <c r="J230" i="79" s="1"/>
  <c r="I231" i="79"/>
  <c r="E229" i="79"/>
  <c r="D229" i="79" s="1"/>
  <c r="C230" i="79"/>
  <c r="W229" i="79"/>
  <c r="V229" i="79"/>
  <c r="U230" i="79"/>
  <c r="O231" i="79" l="1"/>
  <c r="Q230" i="79"/>
  <c r="P230" i="79"/>
  <c r="C248" i="114"/>
  <c r="E248" i="114"/>
  <c r="B249" i="114"/>
  <c r="D248" i="114"/>
  <c r="E230" i="79"/>
  <c r="D230" i="79" s="1"/>
  <c r="C231" i="79"/>
  <c r="K231" i="79"/>
  <c r="J231" i="79" s="1"/>
  <c r="I232" i="79"/>
  <c r="V230" i="79"/>
  <c r="W230" i="79"/>
  <c r="U231" i="79"/>
  <c r="O232" i="79" l="1"/>
  <c r="Q231" i="79"/>
  <c r="P231" i="79"/>
  <c r="E249" i="114"/>
  <c r="C249" i="114"/>
  <c r="B250" i="114"/>
  <c r="D249" i="114"/>
  <c r="E231" i="79"/>
  <c r="D231" i="79" s="1"/>
  <c r="C232" i="79"/>
  <c r="K232" i="79"/>
  <c r="J232" i="79" s="1"/>
  <c r="I233" i="79"/>
  <c r="W231" i="79"/>
  <c r="V231" i="79"/>
  <c r="U232" i="79"/>
  <c r="P232" i="79" l="1"/>
  <c r="Q232" i="79"/>
  <c r="O233" i="79"/>
  <c r="D250" i="114"/>
  <c r="C250" i="114"/>
  <c r="E250" i="114"/>
  <c r="B251" i="114"/>
  <c r="W232" i="79"/>
  <c r="V232" i="79"/>
  <c r="U233" i="79"/>
  <c r="E232" i="79"/>
  <c r="D232" i="79" s="1"/>
  <c r="C233" i="79"/>
  <c r="K233" i="79"/>
  <c r="J233" i="79" s="1"/>
  <c r="I234" i="79"/>
  <c r="Q233" i="79" l="1"/>
  <c r="O234" i="79"/>
  <c r="P233" i="79"/>
  <c r="E251" i="114"/>
  <c r="D251" i="114"/>
  <c r="B252" i="114"/>
  <c r="C251" i="114"/>
  <c r="V233" i="79"/>
  <c r="W233" i="79"/>
  <c r="U234" i="79"/>
  <c r="E233" i="79"/>
  <c r="D233" i="79" s="1"/>
  <c r="C234" i="79"/>
  <c r="K234" i="79"/>
  <c r="J234" i="79" s="1"/>
  <c r="I235" i="79"/>
  <c r="O235" i="79" l="1"/>
  <c r="Q234" i="79"/>
  <c r="P234" i="79"/>
  <c r="B253" i="114"/>
  <c r="E252" i="114"/>
  <c r="C252" i="114"/>
  <c r="D252" i="114"/>
  <c r="E234" i="79"/>
  <c r="D234" i="79" s="1"/>
  <c r="C235" i="79"/>
  <c r="V234" i="79"/>
  <c r="W234" i="79"/>
  <c r="U235" i="79"/>
  <c r="K235" i="79"/>
  <c r="J235" i="79" s="1"/>
  <c r="I236" i="79"/>
  <c r="Q235" i="79" l="1"/>
  <c r="P235" i="79"/>
  <c r="O236" i="79"/>
  <c r="B254" i="114"/>
  <c r="C253" i="114"/>
  <c r="E253" i="114"/>
  <c r="D253" i="114"/>
  <c r="V235" i="79"/>
  <c r="W235" i="79"/>
  <c r="U236" i="79"/>
  <c r="K236" i="79"/>
  <c r="J236" i="79" s="1"/>
  <c r="I237" i="79"/>
  <c r="E235" i="79"/>
  <c r="D235" i="79" s="1"/>
  <c r="C236" i="79"/>
  <c r="P236" i="79" l="1"/>
  <c r="O237" i="79"/>
  <c r="Q236" i="79"/>
  <c r="D254" i="114"/>
  <c r="B255" i="114"/>
  <c r="C254" i="114"/>
  <c r="E254" i="114"/>
  <c r="E236" i="79"/>
  <c r="D236" i="79" s="1"/>
  <c r="C237" i="79"/>
  <c r="W236" i="79"/>
  <c r="V236" i="79"/>
  <c r="U237" i="79"/>
  <c r="K237" i="79"/>
  <c r="J237" i="79" s="1"/>
  <c r="I238" i="79"/>
  <c r="O238" i="79" l="1"/>
  <c r="Q237" i="79"/>
  <c r="P237" i="79"/>
  <c r="D255" i="114"/>
  <c r="B256" i="114"/>
  <c r="E255" i="114"/>
  <c r="C255" i="114"/>
  <c r="E237" i="79"/>
  <c r="D237" i="79" s="1"/>
  <c r="C238" i="79"/>
  <c r="K238" i="79"/>
  <c r="J238" i="79" s="1"/>
  <c r="I239" i="79"/>
  <c r="W237" i="79"/>
  <c r="V237" i="79"/>
  <c r="U238" i="79"/>
  <c r="O239" i="79" l="1"/>
  <c r="Q238" i="79"/>
  <c r="P238" i="79"/>
  <c r="E256" i="114"/>
  <c r="B257" i="114"/>
  <c r="D256" i="114"/>
  <c r="C256" i="114"/>
  <c r="V238" i="79"/>
  <c r="W238" i="79"/>
  <c r="U239" i="79"/>
  <c r="K239" i="79"/>
  <c r="J239" i="79" s="1"/>
  <c r="I240" i="79"/>
  <c r="E238" i="79"/>
  <c r="D238" i="79" s="1"/>
  <c r="C239" i="79"/>
  <c r="O240" i="79" l="1"/>
  <c r="P239" i="79"/>
  <c r="Q239" i="79"/>
  <c r="B258" i="114"/>
  <c r="C257" i="114"/>
  <c r="E257" i="114"/>
  <c r="D257" i="114"/>
  <c r="E239" i="79"/>
  <c r="D239" i="79" s="1"/>
  <c r="C240" i="79"/>
  <c r="V239" i="79"/>
  <c r="W239" i="79"/>
  <c r="U240" i="79"/>
  <c r="K240" i="79"/>
  <c r="J240" i="79" s="1"/>
  <c r="I241" i="79"/>
  <c r="P240" i="79" l="1"/>
  <c r="Q240" i="79"/>
  <c r="O241" i="79"/>
  <c r="B259" i="114"/>
  <c r="C258" i="114"/>
  <c r="E258" i="114"/>
  <c r="D258" i="114"/>
  <c r="V240" i="79"/>
  <c r="W240" i="79"/>
  <c r="U241" i="79"/>
  <c r="E240" i="79"/>
  <c r="D240" i="79" s="1"/>
  <c r="C241" i="79"/>
  <c r="K241" i="79"/>
  <c r="J241" i="79" s="1"/>
  <c r="I242" i="79"/>
  <c r="P241" i="79" l="1"/>
  <c r="O242" i="79"/>
  <c r="Q241" i="79"/>
  <c r="D259" i="114"/>
  <c r="C259" i="114"/>
  <c r="B260" i="114"/>
  <c r="E259" i="114"/>
  <c r="J242" i="79"/>
  <c r="K242" i="79"/>
  <c r="I243" i="79"/>
  <c r="E241" i="79"/>
  <c r="D241" i="79" s="1"/>
  <c r="C242" i="79"/>
  <c r="V241" i="79"/>
  <c r="W241" i="79"/>
  <c r="U242" i="79"/>
  <c r="Q242" i="79" l="1"/>
  <c r="P242" i="79"/>
  <c r="O243" i="79"/>
  <c r="D260" i="114"/>
  <c r="E260" i="114"/>
  <c r="C260" i="114"/>
  <c r="B261" i="114"/>
  <c r="W242" i="79"/>
  <c r="V242" i="79"/>
  <c r="U243" i="79"/>
  <c r="K243" i="79"/>
  <c r="J243" i="79" s="1"/>
  <c r="I244" i="79"/>
  <c r="E242" i="79"/>
  <c r="D242" i="79" s="1"/>
  <c r="C243" i="79"/>
  <c r="Q243" i="79" l="1"/>
  <c r="P243" i="79"/>
  <c r="O244" i="79"/>
  <c r="D261" i="114"/>
  <c r="C261" i="114"/>
  <c r="E261" i="114"/>
  <c r="B262" i="114"/>
  <c r="E243" i="79"/>
  <c r="D243" i="79" s="1"/>
  <c r="C244" i="79"/>
  <c r="V243" i="79"/>
  <c r="W243" i="79"/>
  <c r="U244" i="79"/>
  <c r="K244" i="79"/>
  <c r="J244" i="79" s="1"/>
  <c r="I245" i="79"/>
  <c r="O245" i="79" l="1"/>
  <c r="P244" i="79"/>
  <c r="Q244" i="79"/>
  <c r="B263" i="114"/>
  <c r="E262" i="114"/>
  <c r="D262" i="114"/>
  <c r="C262" i="114"/>
  <c r="K245" i="79"/>
  <c r="J245" i="79" s="1"/>
  <c r="I246" i="79"/>
  <c r="E244" i="79"/>
  <c r="D244" i="79" s="1"/>
  <c r="C245" i="79"/>
  <c r="W244" i="79"/>
  <c r="V244" i="79"/>
  <c r="U245" i="79"/>
  <c r="Q245" i="79" l="1"/>
  <c r="P245" i="79"/>
  <c r="O246" i="79"/>
  <c r="C263" i="114"/>
  <c r="E263" i="114"/>
  <c r="B264" i="114"/>
  <c r="D263" i="114"/>
  <c r="E245" i="79"/>
  <c r="D245" i="79" s="1"/>
  <c r="C246" i="79"/>
  <c r="K246" i="79"/>
  <c r="J246" i="79"/>
  <c r="I247" i="79"/>
  <c r="W245" i="79"/>
  <c r="V245" i="79"/>
  <c r="U246" i="79"/>
  <c r="Q246" i="79" l="1"/>
  <c r="P246" i="79"/>
  <c r="O247" i="79"/>
  <c r="D264" i="114"/>
  <c r="C264" i="114"/>
  <c r="B265" i="114"/>
  <c r="E264" i="114"/>
  <c r="E246" i="79"/>
  <c r="D246" i="79" s="1"/>
  <c r="C247" i="79"/>
  <c r="V246" i="79"/>
  <c r="W246" i="79"/>
  <c r="U247" i="79"/>
  <c r="K247" i="79"/>
  <c r="J247" i="79" s="1"/>
  <c r="I248" i="79"/>
  <c r="O248" i="79" l="1"/>
  <c r="Q247" i="79"/>
  <c r="P247" i="79"/>
  <c r="E265" i="114"/>
  <c r="D265" i="114"/>
  <c r="C265" i="114"/>
  <c r="B266" i="114"/>
  <c r="W247" i="79"/>
  <c r="V247" i="79"/>
  <c r="U248" i="79"/>
  <c r="E247" i="79"/>
  <c r="D247" i="79" s="1"/>
  <c r="C248" i="79"/>
  <c r="K248" i="79"/>
  <c r="J248" i="79" s="1"/>
  <c r="I249" i="79"/>
  <c r="P248" i="79" l="1"/>
  <c r="Q248" i="79"/>
  <c r="O249" i="79"/>
  <c r="C266" i="114"/>
  <c r="E266" i="114"/>
  <c r="D266" i="114"/>
  <c r="B267" i="114"/>
  <c r="W248" i="79"/>
  <c r="V248" i="79"/>
  <c r="U249" i="79"/>
  <c r="K249" i="79"/>
  <c r="J249" i="79" s="1"/>
  <c r="I250" i="79"/>
  <c r="E248" i="79"/>
  <c r="D248" i="79" s="1"/>
  <c r="C249" i="79"/>
  <c r="P249" i="79" l="1"/>
  <c r="O250" i="79"/>
  <c r="Q249" i="79"/>
  <c r="D267" i="114"/>
  <c r="B268" i="114"/>
  <c r="C267" i="114"/>
  <c r="E267" i="114"/>
  <c r="J250" i="79"/>
  <c r="K250" i="79"/>
  <c r="I251" i="79"/>
  <c r="W249" i="79"/>
  <c r="V249" i="79"/>
  <c r="U250" i="79"/>
  <c r="E249" i="79"/>
  <c r="D249" i="79" s="1"/>
  <c r="C250" i="79"/>
  <c r="O251" i="79" l="1"/>
  <c r="Q250" i="79"/>
  <c r="P250" i="79"/>
  <c r="B269" i="114"/>
  <c r="E268" i="114"/>
  <c r="D268" i="114"/>
  <c r="C268" i="114"/>
  <c r="K251" i="79"/>
  <c r="J251" i="79" s="1"/>
  <c r="I252" i="79"/>
  <c r="E250" i="79"/>
  <c r="D250" i="79" s="1"/>
  <c r="C251" i="79"/>
  <c r="V250" i="79"/>
  <c r="W250" i="79"/>
  <c r="U251" i="79"/>
  <c r="Q251" i="79" l="1"/>
  <c r="P251" i="79"/>
  <c r="O252" i="79"/>
  <c r="D269" i="114"/>
  <c r="C269" i="114"/>
  <c r="B270" i="114"/>
  <c r="E269" i="114"/>
  <c r="K252" i="79"/>
  <c r="J252" i="79" s="1"/>
  <c r="I253" i="79"/>
  <c r="W251" i="79"/>
  <c r="V251" i="79"/>
  <c r="U252" i="79"/>
  <c r="E251" i="79"/>
  <c r="D251" i="79" s="1"/>
  <c r="C252" i="79"/>
  <c r="O253" i="79" l="1"/>
  <c r="Q252" i="79"/>
  <c r="P252" i="79"/>
  <c r="D270" i="114"/>
  <c r="C270" i="114"/>
  <c r="B271" i="114"/>
  <c r="E270" i="114"/>
  <c r="E252" i="79"/>
  <c r="D252" i="79" s="1"/>
  <c r="C253" i="79"/>
  <c r="W252" i="79"/>
  <c r="V252" i="79"/>
  <c r="U253" i="79"/>
  <c r="K253" i="79"/>
  <c r="J253" i="79" s="1"/>
  <c r="I254" i="79"/>
  <c r="O254" i="79" l="1"/>
  <c r="Q253" i="79"/>
  <c r="P253" i="79"/>
  <c r="B272" i="114"/>
  <c r="E271" i="114"/>
  <c r="C271" i="114"/>
  <c r="D271" i="114"/>
  <c r="K254" i="79"/>
  <c r="J254" i="79" s="1"/>
  <c r="I255" i="79"/>
  <c r="E253" i="79"/>
  <c r="D253" i="79" s="1"/>
  <c r="C254" i="79"/>
  <c r="V253" i="79"/>
  <c r="W253" i="79"/>
  <c r="U254" i="79"/>
  <c r="O255" i="79" l="1"/>
  <c r="Q254" i="79"/>
  <c r="P254" i="79"/>
  <c r="C272" i="114"/>
  <c r="B273" i="114"/>
  <c r="D272" i="114"/>
  <c r="E272" i="114"/>
  <c r="E254" i="79"/>
  <c r="D254" i="79" s="1"/>
  <c r="C255" i="79"/>
  <c r="K255" i="79"/>
  <c r="J255" i="79" s="1"/>
  <c r="I256" i="79"/>
  <c r="W254" i="79"/>
  <c r="V254" i="79"/>
  <c r="U255" i="79"/>
  <c r="Q255" i="79" l="1"/>
  <c r="P255" i="79"/>
  <c r="O256" i="79"/>
  <c r="D273" i="114"/>
  <c r="C273" i="114"/>
  <c r="E273" i="114"/>
  <c r="B274" i="114"/>
  <c r="W255" i="79"/>
  <c r="V255" i="79"/>
  <c r="U256" i="79"/>
  <c r="K256" i="79"/>
  <c r="J256" i="79" s="1"/>
  <c r="I257" i="79"/>
  <c r="E255" i="79"/>
  <c r="D255" i="79" s="1"/>
  <c r="C256" i="79"/>
  <c r="P256" i="79" l="1"/>
  <c r="Q256" i="79"/>
  <c r="O257" i="79"/>
  <c r="B275" i="114"/>
  <c r="D274" i="114"/>
  <c r="C274" i="114"/>
  <c r="E274" i="114"/>
  <c r="K257" i="79"/>
  <c r="J257" i="79" s="1"/>
  <c r="I258" i="79"/>
  <c r="V256" i="79"/>
  <c r="W256" i="79"/>
  <c r="U257" i="79"/>
  <c r="E256" i="79"/>
  <c r="D256" i="79" s="1"/>
  <c r="C257" i="79"/>
  <c r="O258" i="79" l="1"/>
  <c r="Q257" i="79"/>
  <c r="P257" i="79"/>
  <c r="B276" i="114"/>
  <c r="C275" i="114"/>
  <c r="E275" i="114"/>
  <c r="D275" i="114"/>
  <c r="E257" i="79"/>
  <c r="D257" i="79" s="1"/>
  <c r="C258" i="79"/>
  <c r="K258" i="79"/>
  <c r="J258" i="79" s="1"/>
  <c r="I259" i="79"/>
  <c r="V257" i="79"/>
  <c r="W257" i="79"/>
  <c r="U258" i="79"/>
  <c r="O259" i="79" l="1"/>
  <c r="Q258" i="79"/>
  <c r="P258" i="79"/>
  <c r="E276" i="114"/>
  <c r="B277" i="114"/>
  <c r="C276" i="114"/>
  <c r="D276" i="114"/>
  <c r="W258" i="79"/>
  <c r="V258" i="79"/>
  <c r="U259" i="79"/>
  <c r="E258" i="79"/>
  <c r="D258" i="79" s="1"/>
  <c r="C259" i="79"/>
  <c r="K259" i="79"/>
  <c r="J259" i="79" s="1"/>
  <c r="I260" i="79"/>
  <c r="O260" i="79" l="1"/>
  <c r="Q259" i="79"/>
  <c r="P259" i="79"/>
  <c r="C277" i="114"/>
  <c r="D277" i="114"/>
  <c r="E277" i="114"/>
  <c r="B278" i="114"/>
  <c r="V259" i="79"/>
  <c r="W259" i="79"/>
  <c r="U260" i="79"/>
  <c r="E259" i="79"/>
  <c r="D259" i="79" s="1"/>
  <c r="C260" i="79"/>
  <c r="K260" i="79"/>
  <c r="J260" i="79" s="1"/>
  <c r="I261" i="79"/>
  <c r="O261" i="79" l="1"/>
  <c r="P260" i="79"/>
  <c r="Q260" i="79"/>
  <c r="E278" i="114"/>
  <c r="C278" i="114"/>
  <c r="D278" i="114"/>
  <c r="B279" i="114"/>
  <c r="V260" i="79"/>
  <c r="W260" i="79"/>
  <c r="U261" i="79"/>
  <c r="E260" i="79"/>
  <c r="D260" i="79" s="1"/>
  <c r="C261" i="79"/>
  <c r="K261" i="79"/>
  <c r="J261" i="79" s="1"/>
  <c r="I262" i="79"/>
  <c r="P261" i="79" l="1"/>
  <c r="Q261" i="79"/>
  <c r="O262" i="79"/>
  <c r="C279" i="114"/>
  <c r="B280" i="114"/>
  <c r="E279" i="114"/>
  <c r="D279" i="114"/>
  <c r="V261" i="79"/>
  <c r="W261" i="79"/>
  <c r="U262" i="79"/>
  <c r="E261" i="79"/>
  <c r="D261" i="79" s="1"/>
  <c r="C262" i="79"/>
  <c r="K262" i="79"/>
  <c r="J262" i="79" s="1"/>
  <c r="I263" i="79"/>
  <c r="Q262" i="79" l="1"/>
  <c r="P262" i="79"/>
  <c r="O263" i="79"/>
  <c r="D280" i="114"/>
  <c r="C280" i="114"/>
  <c r="E280" i="114"/>
  <c r="B281" i="114"/>
  <c r="E262" i="79"/>
  <c r="D262" i="79" s="1"/>
  <c r="C263" i="79"/>
  <c r="V262" i="79"/>
  <c r="W262" i="79"/>
  <c r="U263" i="79"/>
  <c r="K263" i="79"/>
  <c r="J263" i="79" s="1"/>
  <c r="I264" i="79"/>
  <c r="Q263" i="79" l="1"/>
  <c r="P263" i="79"/>
  <c r="O264" i="79"/>
  <c r="B282" i="114"/>
  <c r="D281" i="114"/>
  <c r="C281" i="114"/>
  <c r="E281" i="114"/>
  <c r="E263" i="79"/>
  <c r="D263" i="79" s="1"/>
  <c r="C264" i="79"/>
  <c r="V263" i="79"/>
  <c r="W263" i="79"/>
  <c r="U264" i="79"/>
  <c r="K264" i="79"/>
  <c r="J264" i="79" s="1"/>
  <c r="I265" i="79"/>
  <c r="P264" i="79" l="1"/>
  <c r="O265" i="79"/>
  <c r="Q264" i="79"/>
  <c r="D282" i="114"/>
  <c r="E282" i="114"/>
  <c r="C282" i="114"/>
  <c r="B283" i="114"/>
  <c r="E264" i="79"/>
  <c r="D264" i="79" s="1"/>
  <c r="C265" i="79"/>
  <c r="K265" i="79"/>
  <c r="J265" i="79" s="1"/>
  <c r="I266" i="79"/>
  <c r="V264" i="79"/>
  <c r="W264" i="79"/>
  <c r="U265" i="79"/>
  <c r="Q265" i="79" l="1"/>
  <c r="P265" i="79"/>
  <c r="O266" i="79"/>
  <c r="C283" i="114"/>
  <c r="B284" i="114"/>
  <c r="D283" i="114"/>
  <c r="E283" i="114"/>
  <c r="K266" i="79"/>
  <c r="J266" i="79" s="1"/>
  <c r="I267" i="79"/>
  <c r="E265" i="79"/>
  <c r="D265" i="79" s="1"/>
  <c r="C266" i="79"/>
  <c r="W265" i="79"/>
  <c r="V265" i="79"/>
  <c r="U266" i="79"/>
  <c r="Q266" i="79" l="1"/>
  <c r="P266" i="79"/>
  <c r="O267" i="79"/>
  <c r="D284" i="114"/>
  <c r="B285" i="114"/>
  <c r="C284" i="114"/>
  <c r="E284" i="114"/>
  <c r="K267" i="79"/>
  <c r="J267" i="79" s="1"/>
  <c r="I268" i="79"/>
  <c r="V266" i="79"/>
  <c r="W266" i="79"/>
  <c r="U267" i="79"/>
  <c r="E266" i="79"/>
  <c r="D266" i="79" s="1"/>
  <c r="C267" i="79"/>
  <c r="Q267" i="79" l="1"/>
  <c r="P267" i="79"/>
  <c r="O268" i="79"/>
  <c r="E285" i="114"/>
  <c r="C285" i="114"/>
  <c r="D285" i="114"/>
  <c r="B286" i="114"/>
  <c r="E267" i="79"/>
  <c r="D267" i="79" s="1"/>
  <c r="C268" i="79"/>
  <c r="K268" i="79"/>
  <c r="J268" i="79" s="1"/>
  <c r="I269" i="79"/>
  <c r="W267" i="79"/>
  <c r="V267" i="79"/>
  <c r="U268" i="79"/>
  <c r="P268" i="79" l="1"/>
  <c r="Q268" i="79"/>
  <c r="O269" i="79"/>
  <c r="B287" i="114"/>
  <c r="D286" i="114"/>
  <c r="E286" i="114"/>
  <c r="C286" i="114"/>
  <c r="E268" i="79"/>
  <c r="D268" i="79" s="1"/>
  <c r="C269" i="79"/>
  <c r="K269" i="79"/>
  <c r="J269" i="79" s="1"/>
  <c r="I270" i="79"/>
  <c r="W268" i="79"/>
  <c r="V268" i="79"/>
  <c r="U269" i="79"/>
  <c r="O270" i="79" l="1"/>
  <c r="P269" i="79"/>
  <c r="Q269" i="79"/>
  <c r="E287" i="114"/>
  <c r="C287" i="114"/>
  <c r="D287" i="114"/>
  <c r="B288" i="114"/>
  <c r="E269" i="79"/>
  <c r="D269" i="79" s="1"/>
  <c r="C270" i="79"/>
  <c r="V269" i="79"/>
  <c r="W269" i="79"/>
  <c r="U270" i="79"/>
  <c r="K270" i="79"/>
  <c r="J270" i="79" s="1"/>
  <c r="I271" i="79"/>
  <c r="P270" i="79" l="1"/>
  <c r="O271" i="79"/>
  <c r="Q270" i="79"/>
  <c r="B289" i="114"/>
  <c r="E288" i="114"/>
  <c r="C288" i="114"/>
  <c r="D288" i="114"/>
  <c r="W270" i="79"/>
  <c r="V270" i="79"/>
  <c r="U271" i="79"/>
  <c r="E270" i="79"/>
  <c r="D270" i="79" s="1"/>
  <c r="C271" i="79"/>
  <c r="K271" i="79"/>
  <c r="J271" i="79" s="1"/>
  <c r="I272" i="79"/>
  <c r="O272" i="79" l="1"/>
  <c r="Q271" i="79"/>
  <c r="P271" i="79"/>
  <c r="D289" i="114"/>
  <c r="C289" i="114"/>
  <c r="B290" i="114"/>
  <c r="E289" i="114"/>
  <c r="W271" i="79"/>
  <c r="V271" i="79"/>
  <c r="U272" i="79"/>
  <c r="K272" i="79"/>
  <c r="J272" i="79" s="1"/>
  <c r="I273" i="79"/>
  <c r="E271" i="79"/>
  <c r="D271" i="79" s="1"/>
  <c r="C272" i="79"/>
  <c r="P272" i="79" l="1"/>
  <c r="Q272" i="79"/>
  <c r="O273" i="79"/>
  <c r="C290" i="114"/>
  <c r="B291" i="114"/>
  <c r="E290" i="114"/>
  <c r="D290" i="114"/>
  <c r="E272" i="79"/>
  <c r="D272" i="79" s="1"/>
  <c r="C273" i="79"/>
  <c r="W272" i="79"/>
  <c r="V272" i="79"/>
  <c r="U273" i="79"/>
  <c r="K273" i="79"/>
  <c r="J273" i="79" s="1"/>
  <c r="I274" i="79"/>
  <c r="P273" i="79" l="1"/>
  <c r="Q273" i="79"/>
  <c r="O274" i="79"/>
  <c r="B292" i="114"/>
  <c r="E291" i="114"/>
  <c r="D291" i="114"/>
  <c r="C291" i="114"/>
  <c r="E273" i="79"/>
  <c r="D273" i="79" s="1"/>
  <c r="C274" i="79"/>
  <c r="W273" i="79"/>
  <c r="V273" i="79"/>
  <c r="U274" i="79"/>
  <c r="K274" i="79"/>
  <c r="J274" i="79" s="1"/>
  <c r="I275" i="79"/>
  <c r="Q274" i="79" l="1"/>
  <c r="P274" i="79"/>
  <c r="O275" i="79"/>
  <c r="E292" i="114"/>
  <c r="D292" i="114"/>
  <c r="C292" i="114"/>
  <c r="B293" i="114"/>
  <c r="K275" i="79"/>
  <c r="J275" i="79" s="1"/>
  <c r="I276" i="79"/>
  <c r="E274" i="79"/>
  <c r="D274" i="79" s="1"/>
  <c r="C275" i="79"/>
  <c r="W274" i="79"/>
  <c r="V274" i="79"/>
  <c r="U275" i="79"/>
  <c r="P275" i="79" l="1"/>
  <c r="Q275" i="79"/>
  <c r="O276" i="79"/>
  <c r="E293" i="114"/>
  <c r="D293" i="114"/>
  <c r="C293" i="114"/>
  <c r="B294" i="114"/>
  <c r="W275" i="79"/>
  <c r="V275" i="79"/>
  <c r="U276" i="79"/>
  <c r="K276" i="79"/>
  <c r="J276" i="79" s="1"/>
  <c r="I277" i="79"/>
  <c r="E275" i="79"/>
  <c r="D275" i="79" s="1"/>
  <c r="C276" i="79"/>
  <c r="P276" i="79" l="1"/>
  <c r="Q276" i="79"/>
  <c r="O277" i="79"/>
  <c r="C294" i="114"/>
  <c r="E294" i="114"/>
  <c r="B295" i="114"/>
  <c r="D294" i="114"/>
  <c r="E276" i="79"/>
  <c r="D276" i="79" s="1"/>
  <c r="C277" i="79"/>
  <c r="W276" i="79"/>
  <c r="V276" i="79"/>
  <c r="U277" i="79"/>
  <c r="K277" i="79"/>
  <c r="J277" i="79" s="1"/>
  <c r="I278" i="79"/>
  <c r="Q277" i="79" l="1"/>
  <c r="P277" i="79"/>
  <c r="O278" i="79"/>
  <c r="D295" i="114"/>
  <c r="E295" i="114"/>
  <c r="B296" i="114"/>
  <c r="C295" i="114"/>
  <c r="W277" i="79"/>
  <c r="V277" i="79"/>
  <c r="U278" i="79"/>
  <c r="E277" i="79"/>
  <c r="D277" i="79" s="1"/>
  <c r="C278" i="79"/>
  <c r="K278" i="79"/>
  <c r="J278" i="79" s="1"/>
  <c r="I279" i="79"/>
  <c r="Q278" i="79" l="1"/>
  <c r="P278" i="79"/>
  <c r="O279" i="79"/>
  <c r="D296" i="114"/>
  <c r="C296" i="114"/>
  <c r="B297" i="114"/>
  <c r="E296" i="114"/>
  <c r="V278" i="79"/>
  <c r="W278" i="79"/>
  <c r="U279" i="79"/>
  <c r="K279" i="79"/>
  <c r="J279" i="79" s="1"/>
  <c r="I280" i="79"/>
  <c r="E278" i="79"/>
  <c r="D278" i="79" s="1"/>
  <c r="C279" i="79"/>
  <c r="O280" i="79" l="1"/>
  <c r="Q279" i="79"/>
  <c r="P279" i="79"/>
  <c r="C297" i="114"/>
  <c r="E297" i="114"/>
  <c r="D297" i="114"/>
  <c r="B298" i="114"/>
  <c r="K280" i="79"/>
  <c r="J280" i="79" s="1"/>
  <c r="I281" i="79"/>
  <c r="V279" i="79"/>
  <c r="W279" i="79"/>
  <c r="U280" i="79"/>
  <c r="E279" i="79"/>
  <c r="D279" i="79" s="1"/>
  <c r="C280" i="79"/>
  <c r="Q280" i="79" l="1"/>
  <c r="P280" i="79"/>
  <c r="O281" i="79"/>
  <c r="C298" i="114"/>
  <c r="B299" i="114"/>
  <c r="D298" i="114"/>
  <c r="E298" i="114"/>
  <c r="W280" i="79"/>
  <c r="V280" i="79"/>
  <c r="U281" i="79"/>
  <c r="K281" i="79"/>
  <c r="J281" i="79" s="1"/>
  <c r="I282" i="79"/>
  <c r="E280" i="79"/>
  <c r="D280" i="79" s="1"/>
  <c r="C281" i="79"/>
  <c r="O282" i="79" l="1"/>
  <c r="P281" i="79"/>
  <c r="Q281" i="79"/>
  <c r="E299" i="114"/>
  <c r="C299" i="114"/>
  <c r="D299" i="114"/>
  <c r="B300" i="114"/>
  <c r="K282" i="79"/>
  <c r="J282" i="79" s="1"/>
  <c r="I283" i="79"/>
  <c r="V281" i="79"/>
  <c r="W281" i="79"/>
  <c r="U282" i="79"/>
  <c r="E281" i="79"/>
  <c r="D281" i="79" s="1"/>
  <c r="C282" i="79"/>
  <c r="O283" i="79" l="1"/>
  <c r="P282" i="79"/>
  <c r="Q282" i="79"/>
  <c r="B301" i="114"/>
  <c r="D300" i="114"/>
  <c r="C300" i="114"/>
  <c r="E300" i="114"/>
  <c r="K283" i="79"/>
  <c r="J283" i="79" s="1"/>
  <c r="I284" i="79"/>
  <c r="E282" i="79"/>
  <c r="D282" i="79" s="1"/>
  <c r="C283" i="79"/>
  <c r="V282" i="79"/>
  <c r="W282" i="79"/>
  <c r="U283" i="79"/>
  <c r="Q283" i="79" l="1"/>
  <c r="P283" i="79"/>
  <c r="O284" i="79"/>
  <c r="E301" i="114"/>
  <c r="B302" i="114"/>
  <c r="D301" i="114"/>
  <c r="C301" i="114"/>
  <c r="K284" i="79"/>
  <c r="J284" i="79" s="1"/>
  <c r="I285" i="79"/>
  <c r="V283" i="79"/>
  <c r="W283" i="79"/>
  <c r="U284" i="79"/>
  <c r="E283" i="79"/>
  <c r="D283" i="79" s="1"/>
  <c r="C284" i="79"/>
  <c r="P284" i="79" l="1"/>
  <c r="Q284" i="79"/>
  <c r="O285" i="79"/>
  <c r="D302" i="114"/>
  <c r="E302" i="114"/>
  <c r="C302" i="114"/>
  <c r="B303" i="114"/>
  <c r="E284" i="79"/>
  <c r="D284" i="79" s="1"/>
  <c r="C285" i="79"/>
  <c r="K285" i="79"/>
  <c r="J285" i="79" s="1"/>
  <c r="I286" i="79"/>
  <c r="W284" i="79"/>
  <c r="V284" i="79"/>
  <c r="U285" i="79"/>
  <c r="P285" i="79" l="1"/>
  <c r="Q285" i="79"/>
  <c r="O286" i="79"/>
  <c r="C303" i="114"/>
  <c r="B304" i="114"/>
  <c r="E303" i="114"/>
  <c r="D303" i="114"/>
  <c r="E285" i="79"/>
  <c r="D285" i="79" s="1"/>
  <c r="C286" i="79"/>
  <c r="K286" i="79"/>
  <c r="J286" i="79" s="1"/>
  <c r="I287" i="79"/>
  <c r="V285" i="79"/>
  <c r="W285" i="79"/>
  <c r="U286" i="79"/>
  <c r="Q286" i="79" l="1"/>
  <c r="P286" i="79"/>
  <c r="O287" i="79"/>
  <c r="D304" i="114"/>
  <c r="C304" i="114"/>
  <c r="B305" i="114"/>
  <c r="E304" i="114"/>
  <c r="J287" i="79"/>
  <c r="K287" i="79"/>
  <c r="I288" i="79"/>
  <c r="W286" i="79"/>
  <c r="V286" i="79"/>
  <c r="U287" i="79"/>
  <c r="E286" i="79"/>
  <c r="D286" i="79" s="1"/>
  <c r="C287" i="79"/>
  <c r="Q287" i="79" l="1"/>
  <c r="O288" i="79"/>
  <c r="P287" i="79"/>
  <c r="B306" i="114"/>
  <c r="E305" i="114"/>
  <c r="C305" i="114"/>
  <c r="D305" i="114"/>
  <c r="K288" i="79"/>
  <c r="J288" i="79" s="1"/>
  <c r="I289" i="79"/>
  <c r="E287" i="79"/>
  <c r="D287" i="79" s="1"/>
  <c r="C288" i="79"/>
  <c r="W287" i="79"/>
  <c r="V287" i="79"/>
  <c r="U288" i="79"/>
  <c r="Q288" i="79" l="1"/>
  <c r="P288" i="79"/>
  <c r="O289" i="79"/>
  <c r="D306" i="114"/>
  <c r="E306" i="114"/>
  <c r="B307" i="114"/>
  <c r="C306" i="114"/>
  <c r="E288" i="79"/>
  <c r="D288" i="79" s="1"/>
  <c r="C289" i="79"/>
  <c r="K289" i="79"/>
  <c r="J289" i="79" s="1"/>
  <c r="I290" i="79"/>
  <c r="W288" i="79"/>
  <c r="V288" i="79"/>
  <c r="U289" i="79"/>
  <c r="Q289" i="79" l="1"/>
  <c r="P289" i="79"/>
  <c r="O290" i="79"/>
  <c r="D307" i="114"/>
  <c r="B308" i="114"/>
  <c r="E307" i="114"/>
  <c r="C307" i="114"/>
  <c r="E289" i="79"/>
  <c r="D289" i="79" s="1"/>
  <c r="C290" i="79"/>
  <c r="V289" i="79"/>
  <c r="W289" i="79"/>
  <c r="U290" i="79"/>
  <c r="K290" i="79"/>
  <c r="J290" i="79" s="1"/>
  <c r="I291" i="79"/>
  <c r="O291" i="79" l="1"/>
  <c r="Q290" i="79"/>
  <c r="P290" i="79"/>
  <c r="C308" i="114"/>
  <c r="B309" i="114"/>
  <c r="E308" i="114"/>
  <c r="D308" i="114"/>
  <c r="W290" i="79"/>
  <c r="V290" i="79"/>
  <c r="U291" i="79"/>
  <c r="K291" i="79"/>
  <c r="J291" i="79" s="1"/>
  <c r="I292" i="79"/>
  <c r="E290" i="79"/>
  <c r="D290" i="79" s="1"/>
  <c r="C291" i="79"/>
  <c r="Q291" i="79" l="1"/>
  <c r="P291" i="79"/>
  <c r="O292" i="79"/>
  <c r="D309" i="114"/>
  <c r="C309" i="114"/>
  <c r="E309" i="114"/>
  <c r="B310" i="114"/>
  <c r="V291" i="79"/>
  <c r="W291" i="79"/>
  <c r="U292" i="79"/>
  <c r="K292" i="79"/>
  <c r="J292" i="79" s="1"/>
  <c r="I293" i="79"/>
  <c r="E291" i="79"/>
  <c r="D291" i="79" s="1"/>
  <c r="C292" i="79"/>
  <c r="O293" i="79" l="1"/>
  <c r="P292" i="79"/>
  <c r="Q292" i="79"/>
  <c r="D310" i="114"/>
  <c r="E310" i="114"/>
  <c r="B311" i="114"/>
  <c r="C310" i="114"/>
  <c r="J293" i="79"/>
  <c r="K293" i="79"/>
  <c r="I294" i="79"/>
  <c r="W292" i="79"/>
  <c r="V292" i="79"/>
  <c r="U293" i="79"/>
  <c r="E292" i="79"/>
  <c r="D292" i="79" s="1"/>
  <c r="C293" i="79"/>
  <c r="P293" i="79" l="1"/>
  <c r="Q293" i="79"/>
  <c r="O294" i="79"/>
  <c r="D311" i="114"/>
  <c r="B312" i="114"/>
  <c r="E311" i="114"/>
  <c r="C311" i="114"/>
  <c r="W293" i="79"/>
  <c r="V293" i="79"/>
  <c r="U294" i="79"/>
  <c r="K294" i="79"/>
  <c r="J294" i="79" s="1"/>
  <c r="I295" i="79"/>
  <c r="E293" i="79"/>
  <c r="D293" i="79" s="1"/>
  <c r="C294" i="79"/>
  <c r="Q294" i="79" l="1"/>
  <c r="P294" i="79"/>
  <c r="O295" i="79"/>
  <c r="D312" i="114"/>
  <c r="E312" i="114"/>
  <c r="B313" i="114"/>
  <c r="C312" i="114"/>
  <c r="E294" i="79"/>
  <c r="D294" i="79" s="1"/>
  <c r="C295" i="79"/>
  <c r="K295" i="79"/>
  <c r="J295" i="79" s="1"/>
  <c r="I296" i="79"/>
  <c r="W294" i="79"/>
  <c r="V294" i="79"/>
  <c r="U295" i="79"/>
  <c r="O296" i="79" l="1"/>
  <c r="Q295" i="79"/>
  <c r="P295" i="79"/>
  <c r="C313" i="114"/>
  <c r="D313" i="114"/>
  <c r="E313" i="114"/>
  <c r="B314" i="114"/>
  <c r="J296" i="79"/>
  <c r="K296" i="79"/>
  <c r="I297" i="79"/>
  <c r="E295" i="79"/>
  <c r="D295" i="79" s="1"/>
  <c r="C296" i="79"/>
  <c r="V295" i="79"/>
  <c r="W295" i="79"/>
  <c r="U296" i="79"/>
  <c r="P296" i="79" l="1"/>
  <c r="Q296" i="79"/>
  <c r="O297" i="79"/>
  <c r="C314" i="114"/>
  <c r="E314" i="114"/>
  <c r="B315" i="114"/>
  <c r="D314" i="114"/>
  <c r="K297" i="79"/>
  <c r="J297" i="79" s="1"/>
  <c r="I298" i="79"/>
  <c r="V296" i="79"/>
  <c r="W296" i="79"/>
  <c r="U297" i="79"/>
  <c r="E296" i="79"/>
  <c r="D296" i="79" s="1"/>
  <c r="C297" i="79"/>
  <c r="Q297" i="79" l="1"/>
  <c r="P297" i="79"/>
  <c r="O298" i="79"/>
  <c r="C315" i="114"/>
  <c r="B316" i="114"/>
  <c r="E315" i="114"/>
  <c r="D315" i="114"/>
  <c r="E297" i="79"/>
  <c r="D297" i="79" s="1"/>
  <c r="C298" i="79"/>
  <c r="K298" i="79"/>
  <c r="J298" i="79" s="1"/>
  <c r="I299" i="79"/>
  <c r="V297" i="79"/>
  <c r="W297" i="79"/>
  <c r="U298" i="79"/>
  <c r="O299" i="79" l="1"/>
  <c r="Q298" i="79"/>
  <c r="P298" i="79"/>
  <c r="D316" i="114"/>
  <c r="E316" i="114"/>
  <c r="B317" i="114"/>
  <c r="C316" i="114"/>
  <c r="W298" i="79"/>
  <c r="V298" i="79"/>
  <c r="U299" i="79"/>
  <c r="K299" i="79"/>
  <c r="J299" i="79" s="1"/>
  <c r="I300" i="79"/>
  <c r="E298" i="79"/>
  <c r="D298" i="79" s="1"/>
  <c r="C299" i="79"/>
  <c r="P299" i="79" l="1"/>
  <c r="Q299" i="79"/>
  <c r="O300" i="79"/>
  <c r="B318" i="114"/>
  <c r="D317" i="114"/>
  <c r="E317" i="114"/>
  <c r="C317" i="114"/>
  <c r="V299" i="79"/>
  <c r="W299" i="79"/>
  <c r="U300" i="79"/>
  <c r="K300" i="79"/>
  <c r="J300" i="79" s="1"/>
  <c r="I301" i="79"/>
  <c r="E299" i="79"/>
  <c r="D299" i="79" s="1"/>
  <c r="C300" i="79"/>
  <c r="P300" i="79" l="1"/>
  <c r="Q300" i="79"/>
  <c r="O301" i="79"/>
  <c r="E318" i="114"/>
  <c r="B319" i="114"/>
  <c r="C318" i="114"/>
  <c r="D318" i="114"/>
  <c r="E300" i="79"/>
  <c r="D300" i="79" s="1"/>
  <c r="C301" i="79"/>
  <c r="K301" i="79"/>
  <c r="J301" i="79" s="1"/>
  <c r="I302" i="79"/>
  <c r="W300" i="79"/>
  <c r="V300" i="79"/>
  <c r="U301" i="79"/>
  <c r="O302" i="79" l="1"/>
  <c r="Q301" i="79"/>
  <c r="P301" i="79"/>
  <c r="D319" i="114"/>
  <c r="C319" i="114"/>
  <c r="E319" i="114"/>
  <c r="B320" i="114"/>
  <c r="K302" i="79"/>
  <c r="J302" i="79" s="1"/>
  <c r="I303" i="79"/>
  <c r="E301" i="79"/>
  <c r="D301" i="79" s="1"/>
  <c r="C302" i="79"/>
  <c r="V301" i="79"/>
  <c r="W301" i="79"/>
  <c r="U302" i="79"/>
  <c r="Q302" i="79" l="1"/>
  <c r="O303" i="79"/>
  <c r="P302" i="79"/>
  <c r="B321" i="114"/>
  <c r="C320" i="114"/>
  <c r="E320" i="114"/>
  <c r="D320" i="114"/>
  <c r="W302" i="79"/>
  <c r="V302" i="79"/>
  <c r="U303" i="79"/>
  <c r="K303" i="79"/>
  <c r="J303" i="79" s="1"/>
  <c r="I304" i="79"/>
  <c r="E302" i="79"/>
  <c r="D302" i="79" s="1"/>
  <c r="C303" i="79"/>
  <c r="O304" i="79" l="1"/>
  <c r="Q303" i="79"/>
  <c r="P303" i="79"/>
  <c r="E321" i="114"/>
  <c r="C321" i="114"/>
  <c r="B322" i="114"/>
  <c r="D321" i="114"/>
  <c r="E303" i="79"/>
  <c r="D303" i="79" s="1"/>
  <c r="C304" i="79"/>
  <c r="W303" i="79"/>
  <c r="V303" i="79"/>
  <c r="U304" i="79"/>
  <c r="K304" i="79"/>
  <c r="J304" i="79" s="1"/>
  <c r="I305" i="79"/>
  <c r="O305" i="79" l="1"/>
  <c r="Q304" i="79"/>
  <c r="P304" i="79"/>
  <c r="C322" i="114"/>
  <c r="B323" i="114"/>
  <c r="D322" i="114"/>
  <c r="E322" i="114"/>
  <c r="W304" i="79"/>
  <c r="V304" i="79"/>
  <c r="U305" i="79"/>
  <c r="K305" i="79"/>
  <c r="J305" i="79" s="1"/>
  <c r="I306" i="79"/>
  <c r="E304" i="79"/>
  <c r="D304" i="79" s="1"/>
  <c r="C305" i="79"/>
  <c r="P305" i="79" l="1"/>
  <c r="Q305" i="79"/>
  <c r="O306" i="79"/>
  <c r="C323" i="114"/>
  <c r="B324" i="114"/>
  <c r="D323" i="114"/>
  <c r="E323" i="114"/>
  <c r="E305" i="79"/>
  <c r="D305" i="79" s="1"/>
  <c r="C306" i="79"/>
  <c r="W305" i="79"/>
  <c r="V305" i="79"/>
  <c r="U306" i="79"/>
  <c r="K306" i="79"/>
  <c r="J306" i="79" s="1"/>
  <c r="I307" i="79"/>
  <c r="Q306" i="79" l="1"/>
  <c r="P306" i="79"/>
  <c r="O307" i="79"/>
  <c r="E324" i="114"/>
  <c r="D324" i="114"/>
  <c r="B325" i="114"/>
  <c r="C324" i="114"/>
  <c r="W306" i="79"/>
  <c r="V306" i="79"/>
  <c r="U307" i="79"/>
  <c r="E306" i="79"/>
  <c r="D306" i="79" s="1"/>
  <c r="C307" i="79"/>
  <c r="K307" i="79"/>
  <c r="J307" i="79" s="1"/>
  <c r="I308" i="79"/>
  <c r="Q307" i="79" l="1"/>
  <c r="P307" i="79"/>
  <c r="O308" i="79"/>
  <c r="B326" i="114"/>
  <c r="E325" i="114"/>
  <c r="D325" i="114"/>
  <c r="C325" i="114"/>
  <c r="K308" i="79"/>
  <c r="J308" i="79" s="1"/>
  <c r="I309" i="79"/>
  <c r="E307" i="79"/>
  <c r="D307" i="79" s="1"/>
  <c r="C308" i="79"/>
  <c r="W307" i="79"/>
  <c r="V307" i="79"/>
  <c r="U308" i="79"/>
  <c r="P308" i="79" l="1"/>
  <c r="O309" i="79"/>
  <c r="Q308" i="79"/>
  <c r="D326" i="114"/>
  <c r="C326" i="114"/>
  <c r="B327" i="114"/>
  <c r="E326" i="114"/>
  <c r="K309" i="79"/>
  <c r="J309" i="79" s="1"/>
  <c r="I310" i="79"/>
  <c r="W308" i="79"/>
  <c r="V308" i="79"/>
  <c r="U309" i="79"/>
  <c r="E308" i="79"/>
  <c r="D308" i="79" s="1"/>
  <c r="C309" i="79"/>
  <c r="Q309" i="79" l="1"/>
  <c r="P309" i="79"/>
  <c r="O310" i="79"/>
  <c r="E327" i="114"/>
  <c r="C327" i="114"/>
  <c r="D327" i="114"/>
  <c r="B328" i="114"/>
  <c r="K310" i="79"/>
  <c r="J310" i="79" s="1"/>
  <c r="I311" i="79"/>
  <c r="E309" i="79"/>
  <c r="D309" i="79" s="1"/>
  <c r="C310" i="79"/>
  <c r="V309" i="79"/>
  <c r="W309" i="79"/>
  <c r="U310" i="79"/>
  <c r="Q310" i="79" l="1"/>
  <c r="P310" i="79"/>
  <c r="O311" i="79"/>
  <c r="C328" i="114"/>
  <c r="B329" i="114"/>
  <c r="E328" i="114"/>
  <c r="D328" i="114"/>
  <c r="W310" i="79"/>
  <c r="V310" i="79"/>
  <c r="U311" i="79"/>
  <c r="E310" i="79"/>
  <c r="D310" i="79" s="1"/>
  <c r="C311" i="79"/>
  <c r="K311" i="79"/>
  <c r="J311" i="79" s="1"/>
  <c r="I312" i="79"/>
  <c r="P311" i="79" l="1"/>
  <c r="O312" i="79"/>
  <c r="Q311" i="79"/>
  <c r="E329" i="114"/>
  <c r="D329" i="114"/>
  <c r="C329" i="114"/>
  <c r="B330" i="114"/>
  <c r="J312" i="79"/>
  <c r="K312" i="79"/>
  <c r="I313" i="79"/>
  <c r="V311" i="79"/>
  <c r="W311" i="79"/>
  <c r="U312" i="79"/>
  <c r="E311" i="79"/>
  <c r="D311" i="79" s="1"/>
  <c r="C312" i="79"/>
  <c r="O313" i="79" l="1"/>
  <c r="P312" i="79"/>
  <c r="Q312" i="79"/>
  <c r="D330" i="114"/>
  <c r="E330" i="114"/>
  <c r="C330" i="114"/>
  <c r="B331" i="114"/>
  <c r="V312" i="79"/>
  <c r="W312" i="79"/>
  <c r="U313" i="79"/>
  <c r="K313" i="79"/>
  <c r="J313" i="79" s="1"/>
  <c r="I314" i="79"/>
  <c r="E312" i="79"/>
  <c r="D312" i="79" s="1"/>
  <c r="C313" i="79"/>
  <c r="O314" i="79" l="1"/>
  <c r="P313" i="79"/>
  <c r="Q313" i="79"/>
  <c r="C331" i="114"/>
  <c r="B332" i="114"/>
  <c r="E331" i="114"/>
  <c r="D331" i="114"/>
  <c r="W313" i="79"/>
  <c r="V313" i="79"/>
  <c r="U314" i="79"/>
  <c r="E313" i="79"/>
  <c r="D313" i="79" s="1"/>
  <c r="C314" i="79"/>
  <c r="K314" i="79"/>
  <c r="J314" i="79" s="1"/>
  <c r="I315" i="79"/>
  <c r="P314" i="79" l="1"/>
  <c r="Q314" i="79"/>
  <c r="O315" i="79"/>
  <c r="C332" i="114"/>
  <c r="B333" i="114"/>
  <c r="D332" i="114"/>
  <c r="E332" i="114"/>
  <c r="K315" i="79"/>
  <c r="J315" i="79" s="1"/>
  <c r="I316" i="79"/>
  <c r="W314" i="79"/>
  <c r="V314" i="79"/>
  <c r="U315" i="79"/>
  <c r="E314" i="79"/>
  <c r="D314" i="79" s="1"/>
  <c r="C315" i="79"/>
  <c r="O316" i="79" l="1"/>
  <c r="P315" i="79"/>
  <c r="Q315" i="79"/>
  <c r="D333" i="114"/>
  <c r="C333" i="114"/>
  <c r="B334" i="114"/>
  <c r="E333" i="114"/>
  <c r="E315" i="79"/>
  <c r="D315" i="79" s="1"/>
  <c r="C316" i="79"/>
  <c r="K316" i="79"/>
  <c r="J316" i="79" s="1"/>
  <c r="I317" i="79"/>
  <c r="W315" i="79"/>
  <c r="V315" i="79"/>
  <c r="U316" i="79"/>
  <c r="Q316" i="79" l="1"/>
  <c r="O317" i="79"/>
  <c r="P316" i="79"/>
  <c r="E334" i="114"/>
  <c r="D334" i="114"/>
  <c r="B335" i="114"/>
  <c r="C334" i="114"/>
  <c r="V316" i="79"/>
  <c r="W316" i="79"/>
  <c r="U317" i="79"/>
  <c r="E316" i="79"/>
  <c r="D316" i="79" s="1"/>
  <c r="C317" i="79"/>
  <c r="K317" i="79"/>
  <c r="J317" i="79" s="1"/>
  <c r="I318" i="79"/>
  <c r="O318" i="79" l="1"/>
  <c r="Q317" i="79"/>
  <c r="P317" i="79"/>
  <c r="B336" i="114"/>
  <c r="D335" i="114"/>
  <c r="E335" i="114"/>
  <c r="C335" i="114"/>
  <c r="E317" i="79"/>
  <c r="D317" i="79" s="1"/>
  <c r="C318" i="79"/>
  <c r="K318" i="79"/>
  <c r="J318" i="79" s="1"/>
  <c r="I319" i="79"/>
  <c r="V317" i="79"/>
  <c r="W317" i="79"/>
  <c r="U318" i="79"/>
  <c r="O319" i="79" l="1"/>
  <c r="P318" i="79"/>
  <c r="Q318" i="79"/>
  <c r="C336" i="114"/>
  <c r="B337" i="114"/>
  <c r="E336" i="114"/>
  <c r="D336" i="114"/>
  <c r="J319" i="79"/>
  <c r="K319" i="79"/>
  <c r="I320" i="79"/>
  <c r="E318" i="79"/>
  <c r="D318" i="79" s="1"/>
  <c r="C319" i="79"/>
  <c r="V318" i="79"/>
  <c r="W318" i="79"/>
  <c r="U319" i="79"/>
  <c r="Q319" i="79" l="1"/>
  <c r="P319" i="79"/>
  <c r="O320" i="79"/>
  <c r="E337" i="114"/>
  <c r="D337" i="114"/>
  <c r="C337" i="114"/>
  <c r="B338" i="114"/>
  <c r="E319" i="79"/>
  <c r="D319" i="79" s="1"/>
  <c r="C320" i="79"/>
  <c r="W319" i="79"/>
  <c r="V319" i="79"/>
  <c r="U320" i="79"/>
  <c r="K320" i="79"/>
  <c r="J320" i="79" s="1"/>
  <c r="I321" i="79"/>
  <c r="Q320" i="79" l="1"/>
  <c r="O321" i="79"/>
  <c r="P320" i="79"/>
  <c r="D338" i="114"/>
  <c r="B339" i="114"/>
  <c r="E338" i="114"/>
  <c r="C338" i="114"/>
  <c r="E320" i="79"/>
  <c r="D320" i="79" s="1"/>
  <c r="C321" i="79"/>
  <c r="K321" i="79"/>
  <c r="J321" i="79" s="1"/>
  <c r="I322" i="79"/>
  <c r="W320" i="79"/>
  <c r="V320" i="79"/>
  <c r="U321" i="79"/>
  <c r="O322" i="79" l="1"/>
  <c r="Q321" i="79"/>
  <c r="P321" i="79"/>
  <c r="D339" i="114"/>
  <c r="E339" i="114"/>
  <c r="C339" i="114"/>
  <c r="B340" i="114"/>
  <c r="V321" i="79"/>
  <c r="W321" i="79"/>
  <c r="U322" i="79"/>
  <c r="K322" i="79"/>
  <c r="J322" i="79" s="1"/>
  <c r="I323" i="79"/>
  <c r="E321" i="79"/>
  <c r="D321" i="79" s="1"/>
  <c r="C322" i="79"/>
  <c r="P322" i="79" l="1"/>
  <c r="Q322" i="79"/>
  <c r="O323" i="79"/>
  <c r="E340" i="114"/>
  <c r="D340" i="114"/>
  <c r="C340" i="114"/>
  <c r="B341" i="114"/>
  <c r="E322" i="79"/>
  <c r="D322" i="79" s="1"/>
  <c r="C323" i="79"/>
  <c r="K323" i="79"/>
  <c r="J323" i="79" s="1"/>
  <c r="I324" i="79"/>
  <c r="W322" i="79"/>
  <c r="V322" i="79"/>
  <c r="U323" i="79"/>
  <c r="P323" i="79" l="1"/>
  <c r="Q323" i="79"/>
  <c r="O324" i="79"/>
  <c r="C341" i="114"/>
  <c r="B342" i="114"/>
  <c r="E341" i="114"/>
  <c r="D341" i="114"/>
  <c r="E323" i="79"/>
  <c r="D323" i="79" s="1"/>
  <c r="C324" i="79"/>
  <c r="V323" i="79"/>
  <c r="W323" i="79"/>
  <c r="U324" i="79"/>
  <c r="K324" i="79"/>
  <c r="J324" i="79" s="1"/>
  <c r="I325" i="79"/>
  <c r="O325" i="79" l="1"/>
  <c r="P324" i="79"/>
  <c r="Q324" i="79"/>
  <c r="D342" i="114"/>
  <c r="E342" i="114"/>
  <c r="C342" i="114"/>
  <c r="B343" i="114"/>
  <c r="K325" i="79"/>
  <c r="J325" i="79" s="1"/>
  <c r="I326" i="79"/>
  <c r="E324" i="79"/>
  <c r="D324" i="79" s="1"/>
  <c r="C325" i="79"/>
  <c r="V324" i="79"/>
  <c r="W324" i="79"/>
  <c r="U325" i="79"/>
  <c r="Q325" i="79" l="1"/>
  <c r="P325" i="79"/>
  <c r="O326" i="79"/>
  <c r="D343" i="114"/>
  <c r="E343" i="114"/>
  <c r="B344" i="114"/>
  <c r="C343" i="114"/>
  <c r="K326" i="79"/>
  <c r="J326" i="79" s="1"/>
  <c r="I327" i="79"/>
  <c r="W325" i="79"/>
  <c r="V325" i="79"/>
  <c r="U326" i="79"/>
  <c r="E325" i="79"/>
  <c r="D325" i="79" s="1"/>
  <c r="C326" i="79"/>
  <c r="O327" i="79" l="1"/>
  <c r="Q326" i="79"/>
  <c r="P326" i="79"/>
  <c r="C344" i="114"/>
  <c r="E344" i="114"/>
  <c r="D344" i="114"/>
  <c r="B345" i="114"/>
  <c r="V326" i="79"/>
  <c r="W326" i="79"/>
  <c r="U327" i="79"/>
  <c r="E326" i="79"/>
  <c r="D326" i="79" s="1"/>
  <c r="C327" i="79"/>
  <c r="K327" i="79"/>
  <c r="J327" i="79" s="1"/>
  <c r="I328" i="79"/>
  <c r="Q327" i="79" l="1"/>
  <c r="P327" i="79"/>
  <c r="O328" i="79"/>
  <c r="B346" i="114"/>
  <c r="D345" i="114"/>
  <c r="C345" i="114"/>
  <c r="E345" i="114"/>
  <c r="V327" i="79"/>
  <c r="W327" i="79"/>
  <c r="U328" i="79"/>
  <c r="E327" i="79"/>
  <c r="D327" i="79" s="1"/>
  <c r="C328" i="79"/>
  <c r="K328" i="79"/>
  <c r="J328" i="79" s="1"/>
  <c r="I329" i="79"/>
  <c r="Q328" i="79" l="1"/>
  <c r="P328" i="79"/>
  <c r="O329" i="79"/>
  <c r="E346" i="114"/>
  <c r="D346" i="114"/>
  <c r="C346" i="114"/>
  <c r="B347" i="114"/>
  <c r="W328" i="79"/>
  <c r="V328" i="79"/>
  <c r="U329" i="79"/>
  <c r="K329" i="79"/>
  <c r="J329" i="79" s="1"/>
  <c r="I330" i="79"/>
  <c r="E328" i="79"/>
  <c r="D328" i="79" s="1"/>
  <c r="C329" i="79"/>
  <c r="Q329" i="79" l="1"/>
  <c r="P329" i="79"/>
  <c r="O330" i="79"/>
  <c r="B348" i="114"/>
  <c r="D347" i="114"/>
  <c r="E347" i="114"/>
  <c r="C347" i="114"/>
  <c r="V329" i="79"/>
  <c r="W329" i="79"/>
  <c r="U330" i="79"/>
  <c r="E329" i="79"/>
  <c r="D329" i="79" s="1"/>
  <c r="C330" i="79"/>
  <c r="K330" i="79"/>
  <c r="J330" i="79" s="1"/>
  <c r="I331" i="79"/>
  <c r="O331" i="79" l="1"/>
  <c r="Q330" i="79"/>
  <c r="P330" i="79"/>
  <c r="B349" i="114"/>
  <c r="D348" i="114"/>
  <c r="E348" i="114"/>
  <c r="C348" i="114"/>
  <c r="V330" i="79"/>
  <c r="W330" i="79"/>
  <c r="U331" i="79"/>
  <c r="K331" i="79"/>
  <c r="J331" i="79" s="1"/>
  <c r="I332" i="79"/>
  <c r="E330" i="79"/>
  <c r="D330" i="79" s="1"/>
  <c r="C331" i="79"/>
  <c r="Q331" i="79" l="1"/>
  <c r="P331" i="79"/>
  <c r="O332" i="79"/>
  <c r="D349" i="114"/>
  <c r="B350" i="114"/>
  <c r="C349" i="114"/>
  <c r="E349" i="114"/>
  <c r="E331" i="79"/>
  <c r="D331" i="79" s="1"/>
  <c r="C332" i="79"/>
  <c r="W331" i="79"/>
  <c r="V331" i="79"/>
  <c r="U332" i="79"/>
  <c r="K332" i="79"/>
  <c r="J332" i="79" s="1"/>
  <c r="I333" i="79"/>
  <c r="Q332" i="79" l="1"/>
  <c r="P332" i="79"/>
  <c r="O333" i="79"/>
  <c r="B351" i="114"/>
  <c r="E350" i="114"/>
  <c r="D350" i="114"/>
  <c r="C350" i="114"/>
  <c r="W332" i="79"/>
  <c r="V332" i="79"/>
  <c r="U333" i="79"/>
  <c r="K333" i="79"/>
  <c r="J333" i="79" s="1"/>
  <c r="I334" i="79"/>
  <c r="E332" i="79"/>
  <c r="D332" i="79" s="1"/>
  <c r="C333" i="79"/>
  <c r="O334" i="79" l="1"/>
  <c r="Q333" i="79"/>
  <c r="P333" i="79"/>
  <c r="C351" i="114"/>
  <c r="D351" i="114"/>
  <c r="E351" i="114"/>
  <c r="B352" i="114"/>
  <c r="E333" i="79"/>
  <c r="D333" i="79" s="1"/>
  <c r="C334" i="79"/>
  <c r="K334" i="79"/>
  <c r="J334" i="79" s="1"/>
  <c r="I335" i="79"/>
  <c r="W333" i="79"/>
  <c r="V333" i="79"/>
  <c r="U334" i="79"/>
  <c r="Q334" i="79" l="1"/>
  <c r="P334" i="79"/>
  <c r="O335" i="79"/>
  <c r="D352" i="114"/>
  <c r="E352" i="114"/>
  <c r="C352" i="114"/>
  <c r="B353" i="114"/>
  <c r="K335" i="79"/>
  <c r="J335" i="79" s="1"/>
  <c r="I336" i="79"/>
  <c r="E334" i="79"/>
  <c r="D334" i="79" s="1"/>
  <c r="C335" i="79"/>
  <c r="V334" i="79"/>
  <c r="W334" i="79"/>
  <c r="U335" i="79"/>
  <c r="Q335" i="79" l="1"/>
  <c r="P335" i="79"/>
  <c r="O336" i="79"/>
  <c r="B354" i="114"/>
  <c r="D353" i="114"/>
  <c r="E353" i="114"/>
  <c r="C353" i="114"/>
  <c r="V335" i="79"/>
  <c r="W335" i="79"/>
  <c r="U336" i="79"/>
  <c r="K336" i="79"/>
  <c r="J336" i="79" s="1"/>
  <c r="I337" i="79"/>
  <c r="E335" i="79"/>
  <c r="D335" i="79" s="1"/>
  <c r="C336" i="79"/>
  <c r="O337" i="79" l="1"/>
  <c r="P336" i="79"/>
  <c r="Q336" i="79"/>
  <c r="E354" i="114"/>
  <c r="B355" i="114"/>
  <c r="C354" i="114"/>
  <c r="D354" i="114"/>
  <c r="J337" i="79"/>
  <c r="K337" i="79"/>
  <c r="I338" i="79"/>
  <c r="E336" i="79"/>
  <c r="D336" i="79" s="1"/>
  <c r="C337" i="79"/>
  <c r="W336" i="79"/>
  <c r="V336" i="79"/>
  <c r="U337" i="79"/>
  <c r="P337" i="79" l="1"/>
  <c r="Q337" i="79"/>
  <c r="O338" i="79"/>
  <c r="D355" i="114"/>
  <c r="B356" i="114"/>
  <c r="C355" i="114"/>
  <c r="E355" i="114"/>
  <c r="E337" i="79"/>
  <c r="D337" i="79" s="1"/>
  <c r="C338" i="79"/>
  <c r="W337" i="79"/>
  <c r="V337" i="79"/>
  <c r="U338" i="79"/>
  <c r="K338" i="79"/>
  <c r="J338" i="79" s="1"/>
  <c r="I339" i="79"/>
  <c r="Q338" i="79" l="1"/>
  <c r="P338" i="79"/>
  <c r="O339" i="79"/>
  <c r="E356" i="114"/>
  <c r="C356" i="114"/>
  <c r="D356" i="114"/>
  <c r="B357" i="114"/>
  <c r="V338" i="79"/>
  <c r="W338" i="79"/>
  <c r="U339" i="79"/>
  <c r="E338" i="79"/>
  <c r="D338" i="79" s="1"/>
  <c r="C339" i="79"/>
  <c r="K339" i="79"/>
  <c r="J339" i="79" s="1"/>
  <c r="I340" i="79"/>
  <c r="Q339" i="79" l="1"/>
  <c r="O340" i="79"/>
  <c r="P339" i="79"/>
  <c r="D357" i="114"/>
  <c r="C357" i="114"/>
  <c r="E357" i="114"/>
  <c r="B358" i="114"/>
  <c r="W339" i="79"/>
  <c r="V339" i="79"/>
  <c r="U340" i="79"/>
  <c r="K340" i="79"/>
  <c r="J340" i="79" s="1"/>
  <c r="I341" i="79"/>
  <c r="E339" i="79"/>
  <c r="D339" i="79" s="1"/>
  <c r="C340" i="79"/>
  <c r="P340" i="79" l="1"/>
  <c r="O341" i="79"/>
  <c r="Q340" i="79"/>
  <c r="E358" i="114"/>
  <c r="C358" i="114"/>
  <c r="D358" i="114"/>
  <c r="B359" i="114"/>
  <c r="K341" i="79"/>
  <c r="J341" i="79" s="1"/>
  <c r="I342" i="79"/>
  <c r="W340" i="79"/>
  <c r="V340" i="79"/>
  <c r="U341" i="79"/>
  <c r="E340" i="79"/>
  <c r="D340" i="79" s="1"/>
  <c r="C341" i="79"/>
  <c r="Q341" i="79" l="1"/>
  <c r="P341" i="79"/>
  <c r="O342" i="79"/>
  <c r="E359" i="114"/>
  <c r="B360" i="114"/>
  <c r="C359" i="114"/>
  <c r="D359" i="114"/>
  <c r="K342" i="79"/>
  <c r="J342" i="79" s="1"/>
  <c r="I343" i="79"/>
  <c r="E341" i="79"/>
  <c r="D341" i="79" s="1"/>
  <c r="C342" i="79"/>
  <c r="W341" i="79"/>
  <c r="V341" i="79"/>
  <c r="U342" i="79"/>
  <c r="O343" i="79" l="1"/>
  <c r="Q342" i="79"/>
  <c r="P342" i="79"/>
  <c r="C360" i="114"/>
  <c r="E360" i="114"/>
  <c r="B361" i="114"/>
  <c r="D360" i="114"/>
  <c r="V342" i="79"/>
  <c r="W342" i="79"/>
  <c r="U343" i="79"/>
  <c r="E342" i="79"/>
  <c r="D342" i="79" s="1"/>
  <c r="C343" i="79"/>
  <c r="K343" i="79"/>
  <c r="J343" i="79" s="1"/>
  <c r="I344" i="79"/>
  <c r="Q343" i="79" l="1"/>
  <c r="P343" i="79"/>
  <c r="O344" i="79"/>
  <c r="D361" i="114"/>
  <c r="C361" i="114"/>
  <c r="E361" i="114"/>
  <c r="B362" i="114"/>
  <c r="K344" i="79"/>
  <c r="J344" i="79" s="1"/>
  <c r="I345" i="79"/>
  <c r="E343" i="79"/>
  <c r="D343" i="79" s="1"/>
  <c r="C344" i="79"/>
  <c r="W343" i="79"/>
  <c r="V343" i="79"/>
  <c r="U344" i="79"/>
  <c r="Q344" i="79" l="1"/>
  <c r="P344" i="79"/>
  <c r="O345" i="79"/>
  <c r="E362" i="114"/>
  <c r="D362" i="114"/>
  <c r="B363" i="114"/>
  <c r="C362" i="114"/>
  <c r="V344" i="79"/>
  <c r="W344" i="79"/>
  <c r="U345" i="79"/>
  <c r="K345" i="79"/>
  <c r="J345" i="79" s="1"/>
  <c r="I346" i="79"/>
  <c r="E344" i="79"/>
  <c r="D344" i="79" s="1"/>
  <c r="C345" i="79"/>
  <c r="P345" i="79" l="1"/>
  <c r="Q345" i="79"/>
  <c r="O346" i="79"/>
  <c r="B364" i="114"/>
  <c r="C363" i="114"/>
  <c r="E363" i="114"/>
  <c r="D363" i="114"/>
  <c r="K346" i="79"/>
  <c r="J346" i="79" s="1"/>
  <c r="I347" i="79"/>
  <c r="E345" i="79"/>
  <c r="D345" i="79" s="1"/>
  <c r="C346" i="79"/>
  <c r="W345" i="79"/>
  <c r="V345" i="79"/>
  <c r="U346" i="79"/>
  <c r="Q346" i="79" l="1"/>
  <c r="O347" i="79"/>
  <c r="P346" i="79"/>
  <c r="E364" i="114"/>
  <c r="C364" i="114"/>
  <c r="D364" i="114"/>
  <c r="B365" i="114"/>
  <c r="K347" i="79"/>
  <c r="J347" i="79" s="1"/>
  <c r="I348" i="79"/>
  <c r="W346" i="79"/>
  <c r="V346" i="79"/>
  <c r="U347" i="79"/>
  <c r="E346" i="79"/>
  <c r="D346" i="79" s="1"/>
  <c r="C347" i="79"/>
  <c r="O348" i="79" l="1"/>
  <c r="P347" i="79"/>
  <c r="Q347" i="79"/>
  <c r="C365" i="114"/>
  <c r="B366" i="114"/>
  <c r="E365" i="114"/>
  <c r="D365" i="114"/>
  <c r="K348" i="79"/>
  <c r="J348" i="79" s="1"/>
  <c r="I349" i="79"/>
  <c r="W347" i="79"/>
  <c r="V347" i="79"/>
  <c r="U348" i="79"/>
  <c r="E347" i="79"/>
  <c r="D347" i="79" s="1"/>
  <c r="C348" i="79"/>
  <c r="Q348" i="79" l="1"/>
  <c r="O349" i="79"/>
  <c r="P348" i="79"/>
  <c r="E366" i="114"/>
  <c r="B367" i="114"/>
  <c r="C366" i="114"/>
  <c r="D366" i="114"/>
  <c r="E348" i="79"/>
  <c r="D348" i="79" s="1"/>
  <c r="C349" i="79"/>
  <c r="K349" i="79"/>
  <c r="J349" i="79" s="1"/>
  <c r="I350" i="79"/>
  <c r="V348" i="79"/>
  <c r="W348" i="79"/>
  <c r="U349" i="79"/>
  <c r="Q349" i="79" l="1"/>
  <c r="O350" i="79"/>
  <c r="P349" i="79"/>
  <c r="B368" i="114"/>
  <c r="E367" i="114"/>
  <c r="C367" i="114"/>
  <c r="D367" i="114"/>
  <c r="E349" i="79"/>
  <c r="D349" i="79" s="1"/>
  <c r="C350" i="79"/>
  <c r="V349" i="79"/>
  <c r="W349" i="79"/>
  <c r="U350" i="79"/>
  <c r="K350" i="79"/>
  <c r="J350" i="79" s="1"/>
  <c r="I351" i="79"/>
  <c r="O351" i="79" l="1"/>
  <c r="Q350" i="79"/>
  <c r="P350" i="79"/>
  <c r="E368" i="114"/>
  <c r="D368" i="114"/>
  <c r="B369" i="114"/>
  <c r="C368" i="114"/>
  <c r="E350" i="79"/>
  <c r="D350" i="79" s="1"/>
  <c r="C351" i="79"/>
  <c r="K351" i="79"/>
  <c r="J351" i="79" s="1"/>
  <c r="I352" i="79"/>
  <c r="W350" i="79"/>
  <c r="V350" i="79"/>
  <c r="U351" i="79"/>
  <c r="P351" i="79" l="1"/>
  <c r="Q351" i="79"/>
  <c r="O352" i="79"/>
  <c r="C369" i="114"/>
  <c r="E369" i="114"/>
  <c r="B370" i="114"/>
  <c r="D369" i="114"/>
  <c r="J352" i="79"/>
  <c r="K352" i="79"/>
  <c r="I353" i="79"/>
  <c r="W351" i="79"/>
  <c r="V351" i="79"/>
  <c r="U352" i="79"/>
  <c r="E351" i="79"/>
  <c r="D351" i="79" s="1"/>
  <c r="C352" i="79"/>
  <c r="Q352" i="79" l="1"/>
  <c r="P352" i="79"/>
  <c r="O353" i="79"/>
  <c r="B371" i="114"/>
  <c r="E370" i="114"/>
  <c r="D370" i="114"/>
  <c r="C370" i="114"/>
  <c r="W352" i="79"/>
  <c r="V352" i="79"/>
  <c r="U353" i="79"/>
  <c r="K353" i="79"/>
  <c r="J353" i="79" s="1"/>
  <c r="I354" i="79"/>
  <c r="E352" i="79"/>
  <c r="D352" i="79" s="1"/>
  <c r="C353" i="79"/>
  <c r="Q353" i="79" l="1"/>
  <c r="P353" i="79"/>
  <c r="O354" i="79"/>
  <c r="B372" i="114"/>
  <c r="C371" i="114"/>
  <c r="E371" i="114"/>
  <c r="D371" i="114"/>
  <c r="W353" i="79"/>
  <c r="V353" i="79"/>
  <c r="U354" i="79"/>
  <c r="K354" i="79"/>
  <c r="J354" i="79" s="1"/>
  <c r="I355" i="79"/>
  <c r="E353" i="79"/>
  <c r="D353" i="79" s="1"/>
  <c r="C354" i="79"/>
  <c r="P354" i="79" l="1"/>
  <c r="Q354" i="79"/>
  <c r="O355" i="79"/>
  <c r="C372" i="114"/>
  <c r="E372" i="114"/>
  <c r="B373" i="114"/>
  <c r="D372" i="114"/>
  <c r="V354" i="79"/>
  <c r="W354" i="79"/>
  <c r="U355" i="79"/>
  <c r="E354" i="79"/>
  <c r="D354" i="79" s="1"/>
  <c r="C355" i="79"/>
  <c r="K355" i="79"/>
  <c r="J355" i="79" s="1"/>
  <c r="I356" i="79"/>
  <c r="Q355" i="79" l="1"/>
  <c r="P355" i="79"/>
  <c r="O356" i="79"/>
  <c r="B374" i="114"/>
  <c r="C373" i="114"/>
  <c r="E373" i="114"/>
  <c r="D373" i="114"/>
  <c r="V355" i="79"/>
  <c r="W355" i="79"/>
  <c r="U356" i="79"/>
  <c r="K356" i="79"/>
  <c r="J356" i="79" s="1"/>
  <c r="I357" i="79"/>
  <c r="E355" i="79"/>
  <c r="D355" i="79" s="1"/>
  <c r="C356" i="79"/>
  <c r="P356" i="79" l="1"/>
  <c r="Q356" i="79"/>
  <c r="O357" i="79"/>
  <c r="B375" i="114"/>
  <c r="C374" i="114"/>
  <c r="E374" i="114"/>
  <c r="D374" i="114"/>
  <c r="E356" i="79"/>
  <c r="D356" i="79" s="1"/>
  <c r="C357" i="79"/>
  <c r="W356" i="79"/>
  <c r="V356" i="79"/>
  <c r="U357" i="79"/>
  <c r="K357" i="79"/>
  <c r="J357" i="79" s="1"/>
  <c r="I358" i="79"/>
  <c r="O358" i="79" l="1"/>
  <c r="Q357" i="79"/>
  <c r="P357" i="79"/>
  <c r="B376" i="114"/>
  <c r="E375" i="114"/>
  <c r="D375" i="114"/>
  <c r="C375" i="114"/>
  <c r="J358" i="79"/>
  <c r="K358" i="79"/>
  <c r="I359" i="79"/>
  <c r="E357" i="79"/>
  <c r="D357" i="79" s="1"/>
  <c r="C358" i="79"/>
  <c r="V357" i="79"/>
  <c r="W357" i="79"/>
  <c r="U358" i="79"/>
  <c r="Q358" i="79" l="1"/>
  <c r="P358" i="79"/>
  <c r="O359" i="79"/>
  <c r="D376" i="114"/>
  <c r="C376" i="114"/>
  <c r="B377" i="114"/>
  <c r="E376" i="114"/>
  <c r="V358" i="79"/>
  <c r="W358" i="79"/>
  <c r="U359" i="79"/>
  <c r="E358" i="79"/>
  <c r="D358" i="79" s="1"/>
  <c r="C359" i="79"/>
  <c r="K359" i="79"/>
  <c r="J359" i="79" s="1"/>
  <c r="I360" i="79"/>
  <c r="Q359" i="79" l="1"/>
  <c r="P359" i="79"/>
  <c r="O360" i="79"/>
  <c r="B378" i="114"/>
  <c r="E377" i="114"/>
  <c r="D377" i="114"/>
  <c r="C377" i="114"/>
  <c r="V359" i="79"/>
  <c r="W359" i="79"/>
  <c r="U360" i="79"/>
  <c r="K360" i="79"/>
  <c r="J360" i="79" s="1"/>
  <c r="I361" i="79"/>
  <c r="E359" i="79"/>
  <c r="D359" i="79" s="1"/>
  <c r="C360" i="79"/>
  <c r="O361" i="79" l="1"/>
  <c r="P360" i="79"/>
  <c r="Q360" i="79"/>
  <c r="E378" i="114"/>
  <c r="D378" i="114"/>
  <c r="C378" i="114"/>
  <c r="B379" i="114"/>
  <c r="J361" i="79"/>
  <c r="K361" i="79"/>
  <c r="I362" i="79"/>
  <c r="V360" i="79"/>
  <c r="W360" i="79"/>
  <c r="U361" i="79"/>
  <c r="E360" i="79"/>
  <c r="D360" i="79" s="1"/>
  <c r="C361" i="79"/>
  <c r="P361" i="79" l="1"/>
  <c r="Q361" i="79"/>
  <c r="O362" i="79"/>
  <c r="B380" i="114"/>
  <c r="E379" i="114"/>
  <c r="C379" i="114"/>
  <c r="D379" i="114"/>
  <c r="E361" i="79"/>
  <c r="D361" i="79" s="1"/>
  <c r="C362" i="79"/>
  <c r="V361" i="79"/>
  <c r="W361" i="79"/>
  <c r="U362" i="79"/>
  <c r="K362" i="79"/>
  <c r="J362" i="79" s="1"/>
  <c r="I363" i="79"/>
  <c r="P362" i="79" l="1"/>
  <c r="Q362" i="79"/>
  <c r="O363" i="79"/>
  <c r="E380" i="114"/>
  <c r="C380" i="114"/>
  <c r="D380" i="114"/>
  <c r="B381" i="114"/>
  <c r="J363" i="79"/>
  <c r="K363" i="79"/>
  <c r="I364" i="79"/>
  <c r="E362" i="79"/>
  <c r="D362" i="79" s="1"/>
  <c r="C363" i="79"/>
  <c r="V362" i="79"/>
  <c r="W362" i="79"/>
  <c r="U363" i="79"/>
  <c r="P363" i="79" l="1"/>
  <c r="O364" i="79"/>
  <c r="Q363" i="79"/>
  <c r="C381" i="114"/>
  <c r="D381" i="114"/>
  <c r="E381" i="114"/>
  <c r="B382" i="114"/>
  <c r="E363" i="79"/>
  <c r="D363" i="79" s="1"/>
  <c r="C364" i="79"/>
  <c r="K364" i="79"/>
  <c r="J364" i="79" s="1"/>
  <c r="I365" i="79"/>
  <c r="W363" i="79"/>
  <c r="V363" i="79"/>
  <c r="U364" i="79"/>
  <c r="Q364" i="79" l="1"/>
  <c r="P364" i="79"/>
  <c r="O365" i="79"/>
  <c r="E382" i="114"/>
  <c r="C382" i="114"/>
  <c r="B383" i="114"/>
  <c r="D382" i="114"/>
  <c r="E364" i="79"/>
  <c r="D364" i="79" s="1"/>
  <c r="C365" i="79"/>
  <c r="K365" i="79"/>
  <c r="J365" i="79" s="1"/>
  <c r="I366" i="79"/>
  <c r="V364" i="79"/>
  <c r="W364" i="79"/>
  <c r="U365" i="79"/>
  <c r="P365" i="79" l="1"/>
  <c r="Q365" i="79"/>
  <c r="O366" i="79"/>
  <c r="D383" i="114"/>
  <c r="D632" i="114" s="1"/>
  <c r="B389" i="114"/>
  <c r="C383" i="114"/>
  <c r="C632" i="114" s="1"/>
  <c r="E383" i="114"/>
  <c r="E632" i="114" s="1"/>
  <c r="I17" i="97" s="1"/>
  <c r="I22" i="97" s="1"/>
  <c r="E365" i="79"/>
  <c r="D365" i="79" s="1"/>
  <c r="C366" i="79"/>
  <c r="V365" i="79"/>
  <c r="W365" i="79"/>
  <c r="U366" i="79"/>
  <c r="K366" i="79"/>
  <c r="J366" i="79" s="1"/>
  <c r="I367" i="79"/>
  <c r="P366" i="79" l="1"/>
  <c r="O367" i="79"/>
  <c r="Q366" i="79"/>
  <c r="F28" i="97"/>
  <c r="F26" i="97"/>
  <c r="D389" i="114"/>
  <c r="B390" i="114"/>
  <c r="E389" i="114"/>
  <c r="C389" i="114"/>
  <c r="K367" i="79"/>
  <c r="J367" i="79" s="1"/>
  <c r="I368" i="79"/>
  <c r="E366" i="79"/>
  <c r="D366" i="79" s="1"/>
  <c r="C367" i="79"/>
  <c r="W366" i="79"/>
  <c r="V366" i="79"/>
  <c r="U367" i="79"/>
  <c r="O368" i="79" l="1"/>
  <c r="Q367" i="79"/>
  <c r="P367" i="79"/>
  <c r="D390" i="114"/>
  <c r="C390" i="114"/>
  <c r="B391" i="114"/>
  <c r="E390" i="114"/>
  <c r="V367" i="79"/>
  <c r="W367" i="79"/>
  <c r="U368" i="79"/>
  <c r="E367" i="79"/>
  <c r="D367" i="79" s="1"/>
  <c r="C368" i="79"/>
  <c r="K368" i="79"/>
  <c r="J368" i="79" s="1"/>
  <c r="I369" i="79"/>
  <c r="P368" i="79" l="1"/>
  <c r="O369" i="79"/>
  <c r="Q368" i="79"/>
  <c r="B392" i="114"/>
  <c r="D391" i="114"/>
  <c r="C391" i="114"/>
  <c r="E391" i="114"/>
  <c r="E368" i="79"/>
  <c r="D368" i="79" s="1"/>
  <c r="C369" i="79"/>
  <c r="W368" i="79"/>
  <c r="V368" i="79"/>
  <c r="U369" i="79"/>
  <c r="K369" i="79"/>
  <c r="J369" i="79" s="1"/>
  <c r="I370" i="79"/>
  <c r="Q369" i="79" l="1"/>
  <c r="P369" i="79"/>
  <c r="O370" i="79"/>
  <c r="D392" i="114"/>
  <c r="B393" i="114"/>
  <c r="E392" i="114"/>
  <c r="C392" i="114"/>
  <c r="K370" i="79"/>
  <c r="J370" i="79" s="1"/>
  <c r="I371" i="79"/>
  <c r="V369" i="79"/>
  <c r="W369" i="79"/>
  <c r="U370" i="79"/>
  <c r="E369" i="79"/>
  <c r="D369" i="79" s="1"/>
  <c r="C370" i="79"/>
  <c r="P370" i="79" l="1"/>
  <c r="O371" i="79"/>
  <c r="Q370" i="79"/>
  <c r="E393" i="114"/>
  <c r="C393" i="114"/>
  <c r="B394" i="114"/>
  <c r="D393" i="114"/>
  <c r="W370" i="79"/>
  <c r="V370" i="79"/>
  <c r="U371" i="79"/>
  <c r="E370" i="79"/>
  <c r="D370" i="79" s="1"/>
  <c r="C371" i="79"/>
  <c r="K371" i="79"/>
  <c r="J371" i="79" s="1"/>
  <c r="I372" i="79"/>
  <c r="P371" i="79" l="1"/>
  <c r="Q371" i="79"/>
  <c r="O372" i="79"/>
  <c r="E394" i="114"/>
  <c r="D394" i="114"/>
  <c r="B395" i="114"/>
  <c r="C394" i="114"/>
  <c r="V371" i="79"/>
  <c r="W371" i="79"/>
  <c r="U372" i="79"/>
  <c r="E371" i="79"/>
  <c r="D371" i="79" s="1"/>
  <c r="C372" i="79"/>
  <c r="K372" i="79"/>
  <c r="J372" i="79" s="1"/>
  <c r="I373" i="79"/>
  <c r="Q372" i="79" l="1"/>
  <c r="O373" i="79"/>
  <c r="P372" i="79"/>
  <c r="B396" i="114"/>
  <c r="D395" i="114"/>
  <c r="E395" i="114"/>
  <c r="C395" i="114"/>
  <c r="E372" i="79"/>
  <c r="D372" i="79" s="1"/>
  <c r="C373" i="79"/>
  <c r="C374" i="79" s="1"/>
  <c r="W372" i="79"/>
  <c r="V372" i="79"/>
  <c r="U373" i="79"/>
  <c r="K373" i="79"/>
  <c r="J373" i="79" s="1"/>
  <c r="E374" i="79" l="1"/>
  <c r="D374" i="79" s="1"/>
  <c r="C375" i="79"/>
  <c r="Q373" i="79"/>
  <c r="P373" i="79"/>
  <c r="D396" i="114"/>
  <c r="C396" i="114"/>
  <c r="E396" i="114"/>
  <c r="B397" i="114"/>
  <c r="W373" i="79"/>
  <c r="V373" i="79"/>
  <c r="E373" i="79"/>
  <c r="D373" i="79" s="1"/>
  <c r="C376" i="79" l="1"/>
  <c r="E375" i="79"/>
  <c r="D375" i="79" s="1"/>
  <c r="B398" i="114"/>
  <c r="D397" i="114"/>
  <c r="E397" i="114"/>
  <c r="C397" i="114"/>
  <c r="C377" i="79" l="1"/>
  <c r="E376" i="79"/>
  <c r="D376" i="79" s="1"/>
  <c r="C398" i="114"/>
  <c r="D398" i="114"/>
  <c r="B399" i="114"/>
  <c r="E398" i="114"/>
  <c r="E377" i="79" l="1"/>
  <c r="D377" i="79"/>
  <c r="C378" i="79"/>
  <c r="C399" i="114"/>
  <c r="D399" i="114"/>
  <c r="B400" i="114"/>
  <c r="E399" i="114"/>
  <c r="E378" i="79" l="1"/>
  <c r="D378" i="79" s="1"/>
  <c r="C379" i="79"/>
  <c r="E400" i="114"/>
  <c r="B401" i="114"/>
  <c r="C400" i="114"/>
  <c r="D400" i="114"/>
  <c r="E379" i="79" l="1"/>
  <c r="D379" i="79"/>
  <c r="C380" i="79"/>
  <c r="E401" i="114"/>
  <c r="B402" i="114"/>
  <c r="D401" i="114"/>
  <c r="C401" i="114"/>
  <c r="E380" i="79" l="1"/>
  <c r="D380" i="79" s="1"/>
  <c r="C381" i="79"/>
  <c r="B403" i="114"/>
  <c r="E402" i="114"/>
  <c r="C402" i="114"/>
  <c r="D402" i="114"/>
  <c r="C382" i="79" l="1"/>
  <c r="E381" i="79"/>
  <c r="D381" i="79" s="1"/>
  <c r="C403" i="114"/>
  <c r="B404" i="114"/>
  <c r="D403" i="114"/>
  <c r="E403" i="114"/>
  <c r="C383" i="79" l="1"/>
  <c r="E382" i="79"/>
  <c r="D382" i="79"/>
  <c r="D404" i="114"/>
  <c r="E404" i="114"/>
  <c r="C404" i="114"/>
  <c r="B405" i="114"/>
  <c r="E383" i="79" l="1"/>
  <c r="D383" i="79" s="1"/>
  <c r="C384" i="79"/>
  <c r="D405" i="114"/>
  <c r="C405" i="114"/>
  <c r="E405" i="114"/>
  <c r="B406" i="114"/>
  <c r="C385" i="79" l="1"/>
  <c r="E384" i="79"/>
  <c r="D384" i="79" s="1"/>
  <c r="B407" i="114"/>
  <c r="D406" i="114"/>
  <c r="C406" i="114"/>
  <c r="E406" i="114"/>
  <c r="E385" i="79" l="1"/>
  <c r="D385" i="79"/>
  <c r="C386" i="79"/>
  <c r="D407" i="114"/>
  <c r="B408" i="114"/>
  <c r="E407" i="114"/>
  <c r="C407" i="114"/>
  <c r="E386" i="79" l="1"/>
  <c r="D386" i="79" s="1"/>
  <c r="C387" i="79"/>
  <c r="E408" i="114"/>
  <c r="C408" i="114"/>
  <c r="B409" i="114"/>
  <c r="D408" i="114"/>
  <c r="C388" i="79" l="1"/>
  <c r="E387" i="79"/>
  <c r="D387" i="79" s="1"/>
  <c r="E409" i="114"/>
  <c r="B410" i="114"/>
  <c r="D409" i="114"/>
  <c r="C409" i="114"/>
  <c r="E388" i="79" l="1"/>
  <c r="C389" i="79"/>
  <c r="D388" i="79"/>
  <c r="E410" i="114"/>
  <c r="D410" i="114"/>
  <c r="B411" i="114"/>
  <c r="C410" i="114"/>
  <c r="C390" i="79" l="1"/>
  <c r="E389" i="79"/>
  <c r="D389" i="79" s="1"/>
  <c r="C411" i="114"/>
  <c r="D411" i="114"/>
  <c r="B412" i="114"/>
  <c r="E411" i="114"/>
  <c r="E390" i="79" l="1"/>
  <c r="C391" i="79"/>
  <c r="D390" i="79"/>
  <c r="B413" i="114"/>
  <c r="C412" i="114"/>
  <c r="D412" i="114"/>
  <c r="E412" i="114"/>
  <c r="C392" i="79" l="1"/>
  <c r="E391" i="79"/>
  <c r="D391" i="79" s="1"/>
  <c r="D413" i="114"/>
  <c r="B414" i="114"/>
  <c r="C413" i="114"/>
  <c r="E413" i="114"/>
  <c r="E392" i="79" l="1"/>
  <c r="D392" i="79"/>
  <c r="C393" i="79"/>
  <c r="E414" i="114"/>
  <c r="D414" i="114"/>
  <c r="B415" i="114"/>
  <c r="C414" i="114"/>
  <c r="C394" i="79" l="1"/>
  <c r="E393" i="79"/>
  <c r="D393" i="79" s="1"/>
  <c r="C415" i="114"/>
  <c r="D415" i="114"/>
  <c r="E415" i="114"/>
  <c r="B416" i="114"/>
  <c r="C395" i="79" l="1"/>
  <c r="E394" i="79"/>
  <c r="D394" i="79" s="1"/>
  <c r="D416" i="114"/>
  <c r="B417" i="114"/>
  <c r="E416" i="114"/>
  <c r="C416" i="114"/>
  <c r="C396" i="79" l="1"/>
  <c r="E395" i="79"/>
  <c r="D395" i="79"/>
  <c r="E417" i="114"/>
  <c r="C417" i="114"/>
  <c r="B418" i="114"/>
  <c r="D417" i="114"/>
  <c r="C397" i="79" l="1"/>
  <c r="E396" i="79"/>
  <c r="D396" i="79" s="1"/>
  <c r="C418" i="114"/>
  <c r="B419" i="114"/>
  <c r="E418" i="114"/>
  <c r="D418" i="114"/>
  <c r="E397" i="79" l="1"/>
  <c r="D397" i="79"/>
  <c r="C398" i="79"/>
  <c r="D419" i="114"/>
  <c r="C419" i="114"/>
  <c r="B420" i="114"/>
  <c r="E419" i="114"/>
  <c r="E398" i="79" l="1"/>
  <c r="C399" i="79"/>
  <c r="D398" i="79"/>
  <c r="B421" i="114"/>
  <c r="E420" i="114"/>
  <c r="C420" i="114"/>
  <c r="D420" i="114"/>
  <c r="E399" i="79" l="1"/>
  <c r="D399" i="79" s="1"/>
  <c r="C400" i="79"/>
  <c r="D421" i="114"/>
  <c r="C421" i="114"/>
  <c r="B422" i="114"/>
  <c r="E421" i="114"/>
  <c r="E400" i="79" l="1"/>
  <c r="C401" i="79"/>
  <c r="D400" i="79"/>
  <c r="D422" i="114"/>
  <c r="E422" i="114"/>
  <c r="C422" i="114"/>
  <c r="B423" i="114"/>
  <c r="E401" i="79" l="1"/>
  <c r="D401" i="79"/>
  <c r="C402" i="79"/>
  <c r="C423" i="114"/>
  <c r="B424" i="114"/>
  <c r="E423" i="114"/>
  <c r="D423" i="114"/>
  <c r="E402" i="79" l="1"/>
  <c r="D402" i="79" s="1"/>
  <c r="C403" i="79"/>
  <c r="E424" i="114"/>
  <c r="C424" i="114"/>
  <c r="B425" i="114"/>
  <c r="D424" i="114"/>
  <c r="E403" i="79" l="1"/>
  <c r="D403" i="79"/>
  <c r="C404" i="79"/>
  <c r="B426" i="114"/>
  <c r="C425" i="114"/>
  <c r="E425" i="114"/>
  <c r="D425" i="114"/>
  <c r="E404" i="79" l="1"/>
  <c r="D404" i="79"/>
  <c r="C405" i="79"/>
  <c r="C426" i="114"/>
  <c r="E426" i="114"/>
  <c r="D426" i="114"/>
  <c r="B427" i="114"/>
  <c r="E405" i="79" l="1"/>
  <c r="D405" i="79" s="1"/>
  <c r="C406" i="79"/>
  <c r="B428" i="114"/>
  <c r="C427" i="114"/>
  <c r="E427" i="114"/>
  <c r="D427" i="114"/>
  <c r="C407" i="79" l="1"/>
  <c r="E406" i="79"/>
  <c r="D406" i="79" s="1"/>
  <c r="C428" i="114"/>
  <c r="D428" i="114"/>
  <c r="E428" i="114"/>
  <c r="B429" i="114"/>
  <c r="C408" i="79" l="1"/>
  <c r="E407" i="79"/>
  <c r="D407" i="79"/>
  <c r="E429" i="114"/>
  <c r="B430" i="114"/>
  <c r="C429" i="114"/>
  <c r="D429" i="114"/>
  <c r="E408" i="79" l="1"/>
  <c r="D408" i="79" s="1"/>
  <c r="C409" i="79"/>
  <c r="E430" i="114"/>
  <c r="C430" i="114"/>
  <c r="B431" i="114"/>
  <c r="D430" i="114"/>
  <c r="E409" i="79" l="1"/>
  <c r="D409" i="79"/>
  <c r="C410" i="79"/>
  <c r="C431" i="114"/>
  <c r="D431" i="114"/>
  <c r="B432" i="114"/>
  <c r="E431" i="114"/>
  <c r="C411" i="79" l="1"/>
  <c r="E410" i="79"/>
  <c r="D410" i="79" s="1"/>
  <c r="C432" i="114"/>
  <c r="E432" i="114"/>
  <c r="D432" i="114"/>
  <c r="B433" i="114"/>
  <c r="E411" i="79" l="1"/>
  <c r="D411" i="79" s="1"/>
  <c r="C412" i="79"/>
  <c r="D433" i="114"/>
  <c r="E433" i="114"/>
  <c r="C433" i="114"/>
  <c r="B434" i="114"/>
  <c r="C413" i="79" l="1"/>
  <c r="E412" i="79"/>
  <c r="D412" i="79" s="1"/>
  <c r="C434" i="114"/>
  <c r="D434" i="114"/>
  <c r="B435" i="114"/>
  <c r="E434" i="114"/>
  <c r="E413" i="79" l="1"/>
  <c r="C414" i="79"/>
  <c r="D413" i="79"/>
  <c r="B436" i="114"/>
  <c r="D435" i="114"/>
  <c r="C435" i="114"/>
  <c r="E435" i="114"/>
  <c r="E414" i="79" l="1"/>
  <c r="D414" i="79" s="1"/>
  <c r="C415" i="79"/>
  <c r="D436" i="114"/>
  <c r="B437" i="114"/>
  <c r="E436" i="114"/>
  <c r="C436" i="114"/>
  <c r="C416" i="79" l="1"/>
  <c r="E415" i="79"/>
  <c r="D415" i="79" s="1"/>
  <c r="C437" i="114"/>
  <c r="D437" i="114"/>
  <c r="B438" i="114"/>
  <c r="E437" i="114"/>
  <c r="E416" i="79" l="1"/>
  <c r="D416" i="79" s="1"/>
  <c r="C417" i="79"/>
  <c r="C438" i="114"/>
  <c r="E438" i="114"/>
  <c r="D438" i="114"/>
  <c r="B439" i="114"/>
  <c r="E417" i="79" l="1"/>
  <c r="C418" i="79"/>
  <c r="D417" i="79"/>
  <c r="B440" i="114"/>
  <c r="C439" i="114"/>
  <c r="D439" i="114"/>
  <c r="E439" i="114"/>
  <c r="C419" i="79" l="1"/>
  <c r="E418" i="79"/>
  <c r="D418" i="79" s="1"/>
  <c r="E440" i="114"/>
  <c r="B441" i="114"/>
  <c r="C440" i="114"/>
  <c r="D440" i="114"/>
  <c r="E419" i="79" l="1"/>
  <c r="D419" i="79" s="1"/>
  <c r="C420" i="79"/>
  <c r="C441" i="114"/>
  <c r="D441" i="114"/>
  <c r="B442" i="114"/>
  <c r="E441" i="114"/>
  <c r="C421" i="79" l="1"/>
  <c r="E420" i="79"/>
  <c r="D420" i="79" s="1"/>
  <c r="C442" i="114"/>
  <c r="B443" i="114"/>
  <c r="D442" i="114"/>
  <c r="E442" i="114"/>
  <c r="C422" i="79" l="1"/>
  <c r="E421" i="79"/>
  <c r="D421" i="79" s="1"/>
  <c r="B444" i="114"/>
  <c r="E443" i="114"/>
  <c r="D443" i="114"/>
  <c r="C443" i="114"/>
  <c r="C423" i="79" l="1"/>
  <c r="E422" i="79"/>
  <c r="D422" i="79" s="1"/>
  <c r="B445" i="114"/>
  <c r="D444" i="114"/>
  <c r="E444" i="114"/>
  <c r="C444" i="114"/>
  <c r="C424" i="79" l="1"/>
  <c r="E423" i="79"/>
  <c r="D423" i="79"/>
  <c r="C445" i="114"/>
  <c r="B446" i="114"/>
  <c r="E445" i="114"/>
  <c r="D445" i="114"/>
  <c r="C425" i="79" l="1"/>
  <c r="E424" i="79"/>
  <c r="D424" i="79"/>
  <c r="C446" i="114"/>
  <c r="B447" i="114"/>
  <c r="E446" i="114"/>
  <c r="D446" i="114"/>
  <c r="C426" i="79" l="1"/>
  <c r="E425" i="79"/>
  <c r="D425" i="79" s="1"/>
  <c r="B448" i="114"/>
  <c r="E447" i="114"/>
  <c r="C447" i="114"/>
  <c r="D447" i="114"/>
  <c r="E426" i="79" l="1"/>
  <c r="D426" i="79"/>
  <c r="C427" i="79"/>
  <c r="C448" i="114"/>
  <c r="B449" i="114"/>
  <c r="D448" i="114"/>
  <c r="E448" i="114"/>
  <c r="E427" i="79" l="1"/>
  <c r="D427" i="79" s="1"/>
  <c r="C428" i="79"/>
  <c r="D449" i="114"/>
  <c r="B450" i="114"/>
  <c r="E449" i="114"/>
  <c r="C449" i="114"/>
  <c r="C429" i="79" l="1"/>
  <c r="E428" i="79"/>
  <c r="D428" i="79" s="1"/>
  <c r="C450" i="114"/>
  <c r="D450" i="114"/>
  <c r="E450" i="114"/>
  <c r="B451" i="114"/>
  <c r="E429" i="79" l="1"/>
  <c r="C430" i="79"/>
  <c r="D429" i="79"/>
  <c r="C451" i="114"/>
  <c r="E451" i="114"/>
  <c r="B452" i="114"/>
  <c r="D451" i="114"/>
  <c r="E430" i="79" l="1"/>
  <c r="D430" i="79" s="1"/>
  <c r="C431" i="79"/>
  <c r="D452" i="114"/>
  <c r="B453" i="114"/>
  <c r="C452" i="114"/>
  <c r="E452" i="114"/>
  <c r="E431" i="79" l="1"/>
  <c r="C432" i="79"/>
  <c r="D431" i="79"/>
  <c r="C453" i="114"/>
  <c r="B454" i="114"/>
  <c r="D453" i="114"/>
  <c r="E453" i="114"/>
  <c r="E432" i="79" l="1"/>
  <c r="D432" i="79" s="1"/>
  <c r="C433" i="79"/>
  <c r="E454" i="114"/>
  <c r="D454" i="114"/>
  <c r="C454" i="114"/>
  <c r="B455" i="114"/>
  <c r="C434" i="79" l="1"/>
  <c r="E433" i="79"/>
  <c r="D433" i="79" s="1"/>
  <c r="D455" i="114"/>
  <c r="B456" i="114"/>
  <c r="C455" i="114"/>
  <c r="E455" i="114"/>
  <c r="C435" i="79" l="1"/>
  <c r="E434" i="79"/>
  <c r="D434" i="79" s="1"/>
  <c r="C456" i="114"/>
  <c r="B457" i="114"/>
  <c r="D456" i="114"/>
  <c r="E456" i="114"/>
  <c r="C436" i="79" l="1"/>
  <c r="E435" i="79"/>
  <c r="D435" i="79" s="1"/>
  <c r="D457" i="114"/>
  <c r="E457" i="114"/>
  <c r="B458" i="114"/>
  <c r="C457" i="114"/>
  <c r="C437" i="79" l="1"/>
  <c r="E436" i="79"/>
  <c r="D436" i="79" s="1"/>
  <c r="E458" i="114"/>
  <c r="B459" i="114"/>
  <c r="D458" i="114"/>
  <c r="C458" i="114"/>
  <c r="E437" i="79" l="1"/>
  <c r="D437" i="79" s="1"/>
  <c r="C438" i="79"/>
  <c r="E459" i="114"/>
  <c r="C459" i="114"/>
  <c r="D459" i="114"/>
  <c r="B460" i="114"/>
  <c r="E438" i="79" l="1"/>
  <c r="D438" i="79" s="1"/>
  <c r="C439" i="79"/>
  <c r="E460" i="114"/>
  <c r="C460" i="114"/>
  <c r="D460" i="114"/>
  <c r="B461" i="114"/>
  <c r="C440" i="79" l="1"/>
  <c r="E439" i="79"/>
  <c r="D439" i="79" s="1"/>
  <c r="D461" i="114"/>
  <c r="C461" i="114"/>
  <c r="B462" i="114"/>
  <c r="E461" i="114"/>
  <c r="E440" i="79" l="1"/>
  <c r="D440" i="79" s="1"/>
  <c r="C441" i="79"/>
  <c r="E462" i="114"/>
  <c r="D462" i="114"/>
  <c r="C462" i="114"/>
  <c r="B463" i="114"/>
  <c r="C442" i="79" l="1"/>
  <c r="E441" i="79"/>
  <c r="D441" i="79" s="1"/>
  <c r="D463" i="114"/>
  <c r="B464" i="114"/>
  <c r="E463" i="114"/>
  <c r="C463" i="114"/>
  <c r="E442" i="79" l="1"/>
  <c r="D442" i="79" s="1"/>
  <c r="C443" i="79"/>
  <c r="B465" i="114"/>
  <c r="C464" i="114"/>
  <c r="E464" i="114"/>
  <c r="D464" i="114"/>
  <c r="C444" i="79" l="1"/>
  <c r="E443" i="79"/>
  <c r="D443" i="79" s="1"/>
  <c r="D465" i="114"/>
  <c r="C465" i="114"/>
  <c r="B466" i="114"/>
  <c r="E465" i="114"/>
  <c r="C445" i="79" l="1"/>
  <c r="E444" i="79"/>
  <c r="D444" i="79" s="1"/>
  <c r="B467" i="114"/>
  <c r="D466" i="114"/>
  <c r="C466" i="114"/>
  <c r="E466" i="114"/>
  <c r="E445" i="79" l="1"/>
  <c r="D445" i="79" s="1"/>
  <c r="C446" i="79"/>
  <c r="C467" i="114"/>
  <c r="D467" i="114"/>
  <c r="B468" i="114"/>
  <c r="E467" i="114"/>
  <c r="E446" i="79" l="1"/>
  <c r="D446" i="79" s="1"/>
  <c r="C447" i="79"/>
  <c r="C468" i="114"/>
  <c r="E468" i="114"/>
  <c r="B469" i="114"/>
  <c r="D468" i="114"/>
  <c r="E447" i="79" l="1"/>
  <c r="D447" i="79" s="1"/>
  <c r="C448" i="79"/>
  <c r="D469" i="114"/>
  <c r="B470" i="114"/>
  <c r="E469" i="114"/>
  <c r="C469" i="114"/>
  <c r="E448" i="79" l="1"/>
  <c r="D448" i="79" s="1"/>
  <c r="C449" i="79"/>
  <c r="B471" i="114"/>
  <c r="D470" i="114"/>
  <c r="C470" i="114"/>
  <c r="E470" i="114"/>
  <c r="E449" i="79" l="1"/>
  <c r="D449" i="79" s="1"/>
  <c r="C450" i="79"/>
  <c r="C471" i="114"/>
  <c r="B472" i="114"/>
  <c r="E471" i="114"/>
  <c r="D471" i="114"/>
  <c r="C451" i="79" l="1"/>
  <c r="E450" i="79"/>
  <c r="D450" i="79" s="1"/>
  <c r="D472" i="114"/>
  <c r="C472" i="114"/>
  <c r="E472" i="114"/>
  <c r="B473" i="114"/>
  <c r="E451" i="79" l="1"/>
  <c r="D451" i="79"/>
  <c r="C452" i="79"/>
  <c r="B474" i="114"/>
  <c r="D473" i="114"/>
  <c r="C473" i="114"/>
  <c r="E473" i="114"/>
  <c r="C453" i="79" l="1"/>
  <c r="E452" i="79"/>
  <c r="D452" i="79"/>
  <c r="C474" i="114"/>
  <c r="B475" i="114"/>
  <c r="E474" i="114"/>
  <c r="D474" i="114"/>
  <c r="C454" i="79" l="1"/>
  <c r="E453" i="79"/>
  <c r="D453" i="79" s="1"/>
  <c r="C475" i="114"/>
  <c r="B476" i="114"/>
  <c r="D475" i="114"/>
  <c r="E475" i="114"/>
  <c r="C455" i="79" l="1"/>
  <c r="E454" i="79"/>
  <c r="D454" i="79" s="1"/>
  <c r="E476" i="114"/>
  <c r="D476" i="114"/>
  <c r="B477" i="114"/>
  <c r="C476" i="114"/>
  <c r="C456" i="79" l="1"/>
  <c r="E455" i="79"/>
  <c r="D455" i="79"/>
  <c r="E477" i="114"/>
  <c r="B478" i="114"/>
  <c r="C477" i="114"/>
  <c r="D477" i="114"/>
  <c r="C457" i="79" l="1"/>
  <c r="E456" i="79"/>
  <c r="D456" i="79" s="1"/>
  <c r="C478" i="114"/>
  <c r="D478" i="114"/>
  <c r="E478" i="114"/>
  <c r="B479" i="114"/>
  <c r="C458" i="79" l="1"/>
  <c r="E457" i="79"/>
  <c r="D457" i="79" s="1"/>
  <c r="B480" i="114"/>
  <c r="D479" i="114"/>
  <c r="C479" i="114"/>
  <c r="E479" i="114"/>
  <c r="C459" i="79" l="1"/>
  <c r="E458" i="79"/>
  <c r="D458" i="79" s="1"/>
  <c r="D480" i="114"/>
  <c r="B481" i="114"/>
  <c r="C480" i="114"/>
  <c r="E480" i="114"/>
  <c r="C460" i="79" l="1"/>
  <c r="E459" i="79"/>
  <c r="D459" i="79" s="1"/>
  <c r="D481" i="114"/>
  <c r="E481" i="114"/>
  <c r="B482" i="114"/>
  <c r="C481" i="114"/>
  <c r="E460" i="79" l="1"/>
  <c r="D460" i="79" s="1"/>
  <c r="C461" i="79"/>
  <c r="D482" i="114"/>
  <c r="B483" i="114"/>
  <c r="C482" i="114"/>
  <c r="E482" i="114"/>
  <c r="E461" i="79" l="1"/>
  <c r="D461" i="79"/>
  <c r="C462" i="79"/>
  <c r="C483" i="114"/>
  <c r="E483" i="114"/>
  <c r="D483" i="114"/>
  <c r="B484" i="114"/>
  <c r="E462" i="79" l="1"/>
  <c r="D462" i="79"/>
  <c r="C463" i="79"/>
  <c r="D484" i="114"/>
  <c r="E484" i="114"/>
  <c r="C484" i="114"/>
  <c r="B485" i="114"/>
  <c r="C464" i="79" l="1"/>
  <c r="E463" i="79"/>
  <c r="D463" i="79"/>
  <c r="B486" i="114"/>
  <c r="E485" i="114"/>
  <c r="C485" i="114"/>
  <c r="D485" i="114"/>
  <c r="C465" i="79" l="1"/>
  <c r="E464" i="79"/>
  <c r="D464" i="79" s="1"/>
  <c r="C486" i="114"/>
  <c r="E486" i="114"/>
  <c r="D486" i="114"/>
  <c r="B487" i="114"/>
  <c r="E465" i="79" l="1"/>
  <c r="C466" i="79"/>
  <c r="D465" i="79"/>
  <c r="E487" i="114"/>
  <c r="D487" i="114"/>
  <c r="C487" i="114"/>
  <c r="B488" i="114"/>
  <c r="E466" i="79" l="1"/>
  <c r="D466" i="79" s="1"/>
  <c r="C467" i="79"/>
  <c r="D488" i="114"/>
  <c r="B489" i="114"/>
  <c r="C488" i="114"/>
  <c r="E488" i="114"/>
  <c r="C468" i="79" l="1"/>
  <c r="E467" i="79"/>
  <c r="D467" i="79" s="1"/>
  <c r="C489" i="114"/>
  <c r="E489" i="114"/>
  <c r="D489" i="114"/>
  <c r="B490" i="114"/>
  <c r="E468" i="79" l="1"/>
  <c r="D468" i="79"/>
  <c r="C469" i="79"/>
  <c r="C490" i="114"/>
  <c r="D490" i="114"/>
  <c r="E490" i="114"/>
  <c r="B491" i="114"/>
  <c r="E469" i="79" l="1"/>
  <c r="D469" i="79" s="1"/>
  <c r="C470" i="79"/>
  <c r="C491" i="114"/>
  <c r="B492" i="114"/>
  <c r="D491" i="114"/>
  <c r="E491" i="114"/>
  <c r="C471" i="79" l="1"/>
  <c r="E470" i="79"/>
  <c r="D470" i="79" s="1"/>
  <c r="E492" i="114"/>
  <c r="C492" i="114"/>
  <c r="B493" i="114"/>
  <c r="D492" i="114"/>
  <c r="E471" i="79" l="1"/>
  <c r="D471" i="79"/>
  <c r="C472" i="79"/>
  <c r="B494" i="114"/>
  <c r="C493" i="114"/>
  <c r="E493" i="114"/>
  <c r="D493" i="114"/>
  <c r="C473" i="79" l="1"/>
  <c r="E472" i="79"/>
  <c r="D472" i="79" s="1"/>
  <c r="C494" i="114"/>
  <c r="E494" i="114"/>
  <c r="D494" i="114"/>
  <c r="B495" i="114"/>
  <c r="C474" i="79" l="1"/>
  <c r="E473" i="79"/>
  <c r="D473" i="79" s="1"/>
  <c r="C495" i="114"/>
  <c r="E495" i="114"/>
  <c r="D495" i="114"/>
  <c r="B496" i="114"/>
  <c r="E474" i="79" l="1"/>
  <c r="C475" i="79"/>
  <c r="D474" i="79"/>
  <c r="D496" i="114"/>
  <c r="B497" i="114"/>
  <c r="C496" i="114"/>
  <c r="E496" i="114"/>
  <c r="C476" i="79" l="1"/>
  <c r="E475" i="79"/>
  <c r="D475" i="79"/>
  <c r="C497" i="114"/>
  <c r="B498" i="114"/>
  <c r="D497" i="114"/>
  <c r="E497" i="114"/>
  <c r="C477" i="79" l="1"/>
  <c r="E476" i="79"/>
  <c r="D476" i="79" s="1"/>
  <c r="C498" i="114"/>
  <c r="E498" i="114"/>
  <c r="D498" i="114"/>
  <c r="B499" i="114"/>
  <c r="C478" i="79" l="1"/>
  <c r="E477" i="79"/>
  <c r="D477" i="79"/>
  <c r="C499" i="114"/>
  <c r="E499" i="114"/>
  <c r="D499" i="114"/>
  <c r="B500" i="114"/>
  <c r="E478" i="79" l="1"/>
  <c r="D478" i="79"/>
  <c r="C479" i="79"/>
  <c r="D500" i="114"/>
  <c r="C500" i="114"/>
  <c r="B501" i="114"/>
  <c r="E500" i="114"/>
  <c r="C480" i="79" l="1"/>
  <c r="E479" i="79"/>
  <c r="D479" i="79"/>
  <c r="B502" i="114"/>
  <c r="C501" i="114"/>
  <c r="E501" i="114"/>
  <c r="D501" i="114"/>
  <c r="E480" i="79" l="1"/>
  <c r="D480" i="79"/>
  <c r="C481" i="79"/>
  <c r="B503" i="114"/>
  <c r="C502" i="114"/>
  <c r="D502" i="114"/>
  <c r="E502" i="114"/>
  <c r="C482" i="79" l="1"/>
  <c r="E481" i="79"/>
  <c r="D481" i="79" s="1"/>
  <c r="D503" i="114"/>
  <c r="B504" i="114"/>
  <c r="E503" i="114"/>
  <c r="C503" i="114"/>
  <c r="E482" i="79" l="1"/>
  <c r="C483" i="79"/>
  <c r="D482" i="79"/>
  <c r="B505" i="114"/>
  <c r="D504" i="114"/>
  <c r="E504" i="114"/>
  <c r="C504" i="114"/>
  <c r="C484" i="79" l="1"/>
  <c r="E483" i="79"/>
  <c r="D483" i="79" s="1"/>
  <c r="E505" i="114"/>
  <c r="B506" i="114"/>
  <c r="D505" i="114"/>
  <c r="C505" i="114"/>
  <c r="C485" i="79" l="1"/>
  <c r="E484" i="79"/>
  <c r="D484" i="79" s="1"/>
  <c r="E506" i="114"/>
  <c r="C506" i="114"/>
  <c r="D506" i="114"/>
  <c r="B507" i="114"/>
  <c r="C486" i="79" l="1"/>
  <c r="E485" i="79"/>
  <c r="D485" i="79" s="1"/>
  <c r="D507" i="114"/>
  <c r="C507" i="114"/>
  <c r="E507" i="114"/>
  <c r="B508" i="114"/>
  <c r="C487" i="79" l="1"/>
  <c r="E486" i="79"/>
  <c r="D486" i="79"/>
  <c r="D508" i="114"/>
  <c r="B509" i="114"/>
  <c r="E508" i="114"/>
  <c r="C508" i="114"/>
  <c r="E487" i="79" l="1"/>
  <c r="C488" i="79"/>
  <c r="D487" i="79"/>
  <c r="D509" i="114"/>
  <c r="C509" i="114"/>
  <c r="E509" i="114"/>
  <c r="B510" i="114"/>
  <c r="E488" i="79" l="1"/>
  <c r="C489" i="79"/>
  <c r="D488" i="79"/>
  <c r="D510" i="114"/>
  <c r="B511" i="114"/>
  <c r="E510" i="114"/>
  <c r="C510" i="114"/>
  <c r="E489" i="79" l="1"/>
  <c r="D489" i="79" s="1"/>
  <c r="C490" i="79"/>
  <c r="B512" i="114"/>
  <c r="D511" i="114"/>
  <c r="E511" i="114"/>
  <c r="C511" i="114"/>
  <c r="C491" i="79" l="1"/>
  <c r="E490" i="79"/>
  <c r="D490" i="79"/>
  <c r="C512" i="114"/>
  <c r="B513" i="114"/>
  <c r="E512" i="114"/>
  <c r="D512" i="114"/>
  <c r="C492" i="79" l="1"/>
  <c r="E491" i="79"/>
  <c r="D491" i="79"/>
  <c r="D513" i="114"/>
  <c r="C513" i="114"/>
  <c r="E513" i="114"/>
  <c r="B514" i="114"/>
  <c r="E492" i="79" l="1"/>
  <c r="D492" i="79"/>
  <c r="C493" i="79"/>
  <c r="C514" i="114"/>
  <c r="B515" i="114"/>
  <c r="E514" i="114"/>
  <c r="D514" i="114"/>
  <c r="E493" i="79" l="1"/>
  <c r="D493" i="79" s="1"/>
  <c r="C515" i="114"/>
  <c r="E515" i="114"/>
  <c r="D515" i="114"/>
  <c r="B516" i="114"/>
  <c r="C516" i="114" l="1"/>
  <c r="B517" i="114"/>
  <c r="D516" i="114"/>
  <c r="E516" i="114"/>
  <c r="E517" i="114" l="1"/>
  <c r="C517" i="114"/>
  <c r="D517" i="114"/>
  <c r="B518" i="114"/>
  <c r="E518" i="114" l="1"/>
  <c r="C518" i="114"/>
  <c r="D518" i="114"/>
  <c r="B519" i="114"/>
  <c r="D519" i="114" l="1"/>
  <c r="E519" i="114"/>
  <c r="C519" i="114"/>
  <c r="B520" i="114"/>
  <c r="B521" i="114" l="1"/>
  <c r="D520" i="114"/>
  <c r="E520" i="114"/>
  <c r="C520" i="114"/>
  <c r="E521" i="114" l="1"/>
  <c r="B522" i="114"/>
  <c r="C521" i="114"/>
  <c r="D521" i="114"/>
  <c r="E522" i="114" l="1"/>
  <c r="B523" i="114"/>
  <c r="C522" i="114"/>
  <c r="D522" i="114"/>
  <c r="C523" i="114" l="1"/>
  <c r="D523" i="114"/>
  <c r="E523" i="114"/>
  <c r="B524" i="114"/>
  <c r="E524" i="114" l="1"/>
  <c r="D524" i="114"/>
  <c r="B525" i="114"/>
  <c r="C524" i="114"/>
  <c r="B526" i="114" l="1"/>
  <c r="D525" i="114"/>
  <c r="E525" i="114"/>
  <c r="C525" i="114"/>
  <c r="D526" i="114" l="1"/>
  <c r="C526" i="114"/>
  <c r="B527" i="114"/>
  <c r="E526" i="114"/>
  <c r="B528" i="114" l="1"/>
  <c r="D527" i="114"/>
  <c r="C527" i="114"/>
  <c r="E527" i="114"/>
  <c r="C528" i="114" l="1"/>
  <c r="D528" i="114"/>
  <c r="E528" i="114"/>
  <c r="B529" i="114"/>
  <c r="D529" i="114" l="1"/>
  <c r="C529" i="114"/>
  <c r="E529" i="114"/>
  <c r="B530" i="114"/>
  <c r="C530" i="114" l="1"/>
  <c r="B531" i="114"/>
  <c r="D530" i="114"/>
  <c r="E530" i="114"/>
  <c r="E531" i="114" l="1"/>
  <c r="D531" i="114"/>
  <c r="C531" i="114"/>
  <c r="B532" i="114"/>
  <c r="E532" i="114" l="1"/>
  <c r="B533" i="114"/>
  <c r="D532" i="114"/>
  <c r="C532" i="114"/>
  <c r="C533" i="114" l="1"/>
  <c r="E533" i="114"/>
  <c r="B534" i="114"/>
  <c r="D533" i="114"/>
  <c r="D534" i="114" l="1"/>
  <c r="E534" i="114"/>
  <c r="C534" i="114"/>
  <c r="B535" i="114"/>
  <c r="B536" i="114" l="1"/>
  <c r="C535" i="114"/>
  <c r="D535" i="114"/>
  <c r="E535" i="114"/>
  <c r="E536" i="114" l="1"/>
  <c r="D536" i="114"/>
  <c r="C536" i="114"/>
  <c r="B537" i="114"/>
  <c r="B538" i="114" l="1"/>
  <c r="E537" i="114"/>
  <c r="C537" i="114"/>
  <c r="D537" i="114"/>
  <c r="E538" i="114" l="1"/>
  <c r="B539" i="114"/>
  <c r="C538" i="114"/>
  <c r="D538" i="114"/>
  <c r="C539" i="114" l="1"/>
  <c r="B540" i="114"/>
  <c r="D539" i="114"/>
  <c r="E539" i="114"/>
  <c r="D540" i="114" l="1"/>
  <c r="B541" i="114"/>
  <c r="E540" i="114"/>
  <c r="C540" i="114"/>
  <c r="D541" i="114" l="1"/>
  <c r="C541" i="114"/>
  <c r="B542" i="114"/>
  <c r="E541" i="114"/>
  <c r="E542" i="114" l="1"/>
  <c r="B543" i="114"/>
  <c r="C542" i="114"/>
  <c r="D542" i="114"/>
  <c r="E543" i="114" l="1"/>
  <c r="B544" i="114"/>
  <c r="C543" i="114"/>
  <c r="D543" i="114"/>
  <c r="E544" i="114" l="1"/>
  <c r="C544" i="114"/>
  <c r="D544" i="114"/>
  <c r="B545" i="114"/>
  <c r="B546" i="114" l="1"/>
  <c r="E545" i="114"/>
  <c r="D545" i="114"/>
  <c r="C545" i="114"/>
  <c r="D546" i="114" l="1"/>
  <c r="C546" i="114"/>
  <c r="B547" i="114"/>
  <c r="E546" i="114"/>
  <c r="E547" i="114" l="1"/>
  <c r="B548" i="114"/>
  <c r="C547" i="114"/>
  <c r="D547" i="114"/>
  <c r="D548" i="114" l="1"/>
  <c r="C548" i="114"/>
  <c r="B549" i="114"/>
  <c r="E548" i="114"/>
  <c r="D549" i="114" l="1"/>
  <c r="C549" i="114"/>
  <c r="E549" i="114"/>
  <c r="B550" i="114"/>
  <c r="B551" i="114" l="1"/>
  <c r="C550" i="114"/>
  <c r="D550" i="114"/>
  <c r="E550" i="114"/>
  <c r="C551" i="114" l="1"/>
  <c r="E551" i="114"/>
  <c r="B552" i="114"/>
  <c r="D551" i="114"/>
  <c r="D552" i="114" l="1"/>
  <c r="C552" i="114"/>
  <c r="E552" i="114"/>
  <c r="B553" i="114"/>
  <c r="D553" i="114" l="1"/>
  <c r="B554" i="114"/>
  <c r="E553" i="114"/>
  <c r="C553" i="114"/>
  <c r="D554" i="114" l="1"/>
  <c r="B555" i="114"/>
  <c r="C554" i="114"/>
  <c r="E554" i="114"/>
  <c r="D555" i="114" l="1"/>
  <c r="C555" i="114"/>
  <c r="E555" i="114"/>
  <c r="B556" i="114"/>
  <c r="B557" i="114" l="1"/>
  <c r="E556" i="114"/>
  <c r="D556" i="114"/>
  <c r="C556" i="114"/>
  <c r="E557" i="114" l="1"/>
  <c r="D557" i="114"/>
  <c r="C557" i="114"/>
  <c r="B558" i="114"/>
  <c r="C558" i="114" l="1"/>
  <c r="B559" i="114"/>
  <c r="E558" i="114"/>
  <c r="D558" i="114"/>
  <c r="C559" i="114" l="1"/>
  <c r="E559" i="114"/>
  <c r="B560" i="114"/>
  <c r="D559" i="114"/>
  <c r="C560" i="114" l="1"/>
  <c r="E560" i="114"/>
  <c r="D560" i="114"/>
  <c r="B561" i="114"/>
  <c r="C561" i="114" l="1"/>
  <c r="D561" i="114"/>
  <c r="B562" i="114"/>
  <c r="E561" i="114"/>
  <c r="D562" i="114" l="1"/>
  <c r="B563" i="114"/>
  <c r="E562" i="114"/>
  <c r="C562" i="114"/>
  <c r="C563" i="114" l="1"/>
  <c r="D563" i="114"/>
  <c r="E563" i="114"/>
  <c r="B564" i="114"/>
  <c r="B565" i="114" l="1"/>
  <c r="C564" i="114"/>
  <c r="E564" i="114"/>
  <c r="D564" i="114"/>
  <c r="B566" i="114" l="1"/>
  <c r="C565" i="114"/>
  <c r="D565" i="114"/>
  <c r="E565" i="114"/>
  <c r="E566" i="114" l="1"/>
  <c r="D566" i="114"/>
  <c r="C566" i="114"/>
  <c r="B567" i="114"/>
  <c r="B568" i="114" l="1"/>
  <c r="C567" i="114"/>
  <c r="E567" i="114"/>
  <c r="D567" i="114"/>
  <c r="D568" i="114" l="1"/>
  <c r="C568" i="114"/>
  <c r="B569" i="114"/>
  <c r="E568" i="114"/>
  <c r="B570" i="114" l="1"/>
  <c r="E569" i="114"/>
  <c r="D569" i="114"/>
  <c r="C569" i="114"/>
  <c r="C570" i="114" l="1"/>
  <c r="B571" i="114"/>
  <c r="D570" i="114"/>
  <c r="E570" i="114"/>
  <c r="D571" i="114" l="1"/>
  <c r="C571" i="114"/>
  <c r="B572" i="114"/>
  <c r="E571" i="114"/>
  <c r="C572" i="114" l="1"/>
  <c r="E572" i="114"/>
  <c r="D572" i="114"/>
  <c r="B573" i="114"/>
  <c r="C573" i="114" l="1"/>
  <c r="E573" i="114"/>
  <c r="D573" i="114"/>
  <c r="B574" i="114"/>
  <c r="E574" i="114" l="1"/>
  <c r="C574" i="114"/>
  <c r="D574" i="114"/>
  <c r="B575" i="114"/>
  <c r="B576" i="114" l="1"/>
  <c r="E575" i="114"/>
  <c r="D575" i="114"/>
  <c r="C575" i="114"/>
  <c r="E576" i="114" l="1"/>
  <c r="B577" i="114"/>
  <c r="C576" i="114"/>
  <c r="D576" i="114"/>
  <c r="B578" i="114" l="1"/>
  <c r="E577" i="114"/>
  <c r="C577" i="114"/>
  <c r="D577" i="114"/>
  <c r="D578" i="114" l="1"/>
  <c r="E578" i="114"/>
  <c r="C578" i="114"/>
  <c r="B579" i="114"/>
  <c r="C579" i="114" l="1"/>
  <c r="B580" i="114"/>
  <c r="D579" i="114"/>
  <c r="E579" i="114"/>
  <c r="C580" i="114" l="1"/>
  <c r="D580" i="114"/>
  <c r="B581" i="114"/>
  <c r="E580" i="114"/>
  <c r="E581" i="114" l="1"/>
  <c r="B582" i="114"/>
  <c r="C581" i="114"/>
  <c r="D581" i="114"/>
  <c r="E582" i="114" l="1"/>
  <c r="B583" i="114"/>
  <c r="D582" i="114"/>
  <c r="C582" i="114"/>
  <c r="D583" i="114" l="1"/>
  <c r="E583" i="114"/>
  <c r="B584" i="114"/>
  <c r="C583" i="114"/>
  <c r="E584" i="114" l="1"/>
  <c r="C584" i="114"/>
  <c r="B585" i="114"/>
  <c r="D584" i="114"/>
  <c r="D585" i="114" l="1"/>
  <c r="E585" i="114"/>
  <c r="B586" i="114"/>
  <c r="C585" i="114"/>
  <c r="D586" i="114" l="1"/>
  <c r="B587" i="114"/>
  <c r="E586" i="114"/>
  <c r="C586" i="114"/>
  <c r="B588" i="114" l="1"/>
  <c r="C587" i="114"/>
  <c r="E587" i="114"/>
  <c r="D587" i="114"/>
  <c r="D588" i="114" l="1"/>
  <c r="C588" i="114"/>
  <c r="E588" i="114"/>
  <c r="B589" i="114"/>
  <c r="E589" i="114" l="1"/>
  <c r="B590" i="114"/>
  <c r="C589" i="114"/>
  <c r="D589" i="114"/>
  <c r="E590" i="114" l="1"/>
  <c r="B591" i="114"/>
  <c r="D590" i="114"/>
  <c r="C590" i="114"/>
  <c r="D591" i="114" l="1"/>
  <c r="E591" i="114"/>
  <c r="C591" i="114"/>
  <c r="B592" i="114"/>
  <c r="D592" i="114" l="1"/>
  <c r="C592" i="114"/>
  <c r="B593" i="114"/>
  <c r="E592" i="114"/>
  <c r="C593" i="114" l="1"/>
  <c r="B594" i="114"/>
  <c r="D593" i="114"/>
  <c r="E593" i="114"/>
  <c r="B595" i="114" l="1"/>
  <c r="E594" i="114"/>
  <c r="D594" i="114"/>
  <c r="C594" i="114"/>
  <c r="E595" i="114" l="1"/>
  <c r="B596" i="114"/>
  <c r="C595" i="114"/>
  <c r="D595" i="114"/>
  <c r="D596" i="114" l="1"/>
  <c r="C596" i="114"/>
  <c r="B597" i="114"/>
  <c r="E596" i="114"/>
  <c r="B598" i="114" l="1"/>
  <c r="C597" i="114"/>
  <c r="E597" i="114"/>
  <c r="D597" i="114"/>
  <c r="C598" i="114" l="1"/>
  <c r="D598" i="114"/>
  <c r="E598" i="114"/>
  <c r="B599" i="114"/>
  <c r="D599" i="114" l="1"/>
  <c r="B600" i="114"/>
  <c r="E599" i="114"/>
  <c r="C599" i="114"/>
  <c r="B601" i="114" l="1"/>
  <c r="C600" i="114"/>
  <c r="E600" i="114"/>
  <c r="D600" i="114"/>
  <c r="E601" i="114" l="1"/>
  <c r="D601" i="114"/>
  <c r="B602" i="114"/>
  <c r="C601" i="114"/>
  <c r="E602" i="114" l="1"/>
  <c r="D602" i="114"/>
  <c r="B603" i="114"/>
  <c r="C602" i="114"/>
  <c r="E603" i="114" l="1"/>
  <c r="B604" i="114"/>
  <c r="C603" i="114"/>
  <c r="D603" i="114"/>
  <c r="E604" i="114" l="1"/>
  <c r="D604" i="114"/>
  <c r="B605" i="114"/>
  <c r="C604" i="114"/>
  <c r="B606" i="114" l="1"/>
  <c r="C605" i="114"/>
  <c r="E605" i="114"/>
  <c r="D605" i="114"/>
  <c r="B607" i="114" l="1"/>
  <c r="D606" i="114"/>
  <c r="C606" i="114"/>
  <c r="E606" i="114"/>
  <c r="B608" i="114" l="1"/>
  <c r="E607" i="114"/>
  <c r="D607" i="114"/>
  <c r="C607" i="114"/>
  <c r="B609" i="114" l="1"/>
  <c r="C608" i="114"/>
  <c r="E608" i="114"/>
  <c r="D608" i="114"/>
  <c r="E609" i="114" l="1"/>
  <c r="C609" i="114"/>
  <c r="B610" i="114"/>
  <c r="D609" i="114"/>
  <c r="B611" i="114" l="1"/>
  <c r="D610" i="114"/>
  <c r="E610" i="114"/>
  <c r="C610" i="114"/>
  <c r="D611" i="114" l="1"/>
  <c r="E611" i="114"/>
  <c r="B612" i="114"/>
  <c r="C611" i="114"/>
  <c r="B613" i="114" l="1"/>
  <c r="D612" i="114"/>
  <c r="E612" i="114"/>
  <c r="C612" i="114"/>
  <c r="C613" i="114" l="1"/>
  <c r="B614" i="114"/>
  <c r="E613" i="114"/>
  <c r="D613" i="114"/>
  <c r="E614" i="114" l="1"/>
  <c r="D614" i="114"/>
  <c r="C614" i="114"/>
  <c r="B615" i="114"/>
  <c r="B616" i="114" l="1"/>
  <c r="E615" i="114"/>
  <c r="C615" i="114"/>
  <c r="D615" i="114"/>
  <c r="C616" i="114" l="1"/>
  <c r="E616" i="114"/>
  <c r="D616" i="114"/>
  <c r="B617" i="114"/>
  <c r="E617" i="114" l="1"/>
  <c r="C617" i="114"/>
  <c r="B618" i="114"/>
  <c r="D617" i="114"/>
  <c r="E618" i="114" l="1"/>
  <c r="D618" i="114"/>
  <c r="C618" i="114"/>
  <c r="B619" i="114"/>
  <c r="C619" i="114" l="1"/>
  <c r="D619" i="114"/>
  <c r="E619" i="114"/>
  <c r="B620" i="114"/>
  <c r="E620" i="114" l="1"/>
  <c r="D620" i="114"/>
  <c r="C620" i="114"/>
  <c r="B621" i="114"/>
  <c r="C621" i="114" l="1"/>
  <c r="E621" i="114"/>
  <c r="D621" i="114"/>
  <c r="B622" i="114"/>
  <c r="E622" i="114" l="1"/>
  <c r="D622" i="114"/>
  <c r="C622" i="114"/>
  <c r="B623" i="114"/>
  <c r="D623" i="114" l="1"/>
  <c r="B624" i="114"/>
  <c r="C623" i="114"/>
  <c r="E623" i="114"/>
  <c r="C624" i="114" l="1"/>
  <c r="B625" i="114"/>
  <c r="D624" i="114"/>
  <c r="E624" i="114"/>
  <c r="E625" i="114" l="1"/>
  <c r="D625" i="114"/>
  <c r="C625" i="114"/>
  <c r="B626" i="114"/>
  <c r="D626" i="114" l="1"/>
  <c r="B627" i="114"/>
  <c r="E626" i="114"/>
  <c r="C626" i="114"/>
  <c r="B628" i="114" l="1"/>
  <c r="C627" i="114"/>
  <c r="E627" i="114"/>
  <c r="D627" i="114"/>
  <c r="C628" i="114" l="1"/>
  <c r="E628" i="114"/>
  <c r="D628" i="1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Mitchell Eden</author>
  </authors>
  <commentList>
    <comment ref="J7" authorId="0" shapeId="0" xr:uid="{00000000-0006-0000-1000-000001000000}">
      <text>
        <r>
          <rPr>
            <b/>
            <sz val="9"/>
            <color indexed="81"/>
            <rFont val="Tahoma"/>
            <family val="2"/>
          </rPr>
          <t>Mitchell Eden:</t>
        </r>
        <r>
          <rPr>
            <sz val="9"/>
            <color indexed="81"/>
            <rFont val="Tahoma"/>
            <family val="2"/>
          </rPr>
          <t xml:space="preserve">
Use Drop Down if additional BR type needed</t>
        </r>
      </text>
    </comment>
    <comment ref="K7" authorId="0" shapeId="0" xr:uid="{00000000-0006-0000-1000-000002000000}">
      <text>
        <r>
          <rPr>
            <b/>
            <sz val="9"/>
            <color indexed="81"/>
            <rFont val="Tahoma"/>
            <family val="2"/>
          </rPr>
          <t>Mitchell Eden:</t>
        </r>
        <r>
          <rPr>
            <sz val="9"/>
            <color indexed="81"/>
            <rFont val="Tahoma"/>
            <family val="2"/>
          </rPr>
          <t xml:space="preserve">
Use Drop Down if additional BR type needed</t>
        </r>
      </text>
    </comment>
    <comment ref="L7" authorId="0" shapeId="0" xr:uid="{00000000-0006-0000-1000-000003000000}">
      <text>
        <r>
          <rPr>
            <b/>
            <sz val="9"/>
            <color indexed="81"/>
            <rFont val="Tahoma"/>
            <family val="2"/>
          </rPr>
          <t>Mitchell Eden:</t>
        </r>
        <r>
          <rPr>
            <sz val="9"/>
            <color indexed="81"/>
            <rFont val="Tahoma"/>
            <family val="2"/>
          </rPr>
          <t xml:space="preserve">
Use Drop Down if additional BR type needed</t>
        </r>
      </text>
    </comment>
    <comment ref="M7" authorId="0" shapeId="0" xr:uid="{00000000-0006-0000-1000-000004000000}">
      <text>
        <r>
          <rPr>
            <b/>
            <sz val="9"/>
            <color indexed="81"/>
            <rFont val="Tahoma"/>
            <family val="2"/>
          </rPr>
          <t>Mitchell Eden:</t>
        </r>
        <r>
          <rPr>
            <sz val="9"/>
            <color indexed="81"/>
            <rFont val="Tahoma"/>
            <family val="2"/>
          </rPr>
          <t xml:space="preserve">
Use Drop Down if additional BR type needed</t>
        </r>
      </text>
    </comment>
    <comment ref="N7" authorId="0" shapeId="0" xr:uid="{00000000-0006-0000-1000-000005000000}">
      <text>
        <r>
          <rPr>
            <b/>
            <sz val="9"/>
            <color indexed="81"/>
            <rFont val="Tahoma"/>
            <family val="2"/>
          </rPr>
          <t>Mitchell Eden:</t>
        </r>
        <r>
          <rPr>
            <sz val="9"/>
            <color indexed="81"/>
            <rFont val="Tahoma"/>
            <family val="2"/>
          </rPr>
          <t xml:space="preserve">
Use Drop Down if additional BR type needed</t>
        </r>
      </text>
    </comment>
    <comment ref="O7" authorId="0" shapeId="0" xr:uid="{00000000-0006-0000-1000-000006000000}">
      <text>
        <r>
          <rPr>
            <b/>
            <sz val="9"/>
            <color indexed="81"/>
            <rFont val="Tahoma"/>
            <family val="2"/>
          </rPr>
          <t>Mitchell Eden:</t>
        </r>
        <r>
          <rPr>
            <sz val="9"/>
            <color indexed="81"/>
            <rFont val="Tahoma"/>
            <family val="2"/>
          </rPr>
          <t xml:space="preserve">
Use Drop Down if additional BR type needed</t>
        </r>
      </text>
    </comment>
    <comment ref="P7" authorId="0" shapeId="0" xr:uid="{00000000-0006-0000-1000-000007000000}">
      <text>
        <r>
          <rPr>
            <b/>
            <sz val="9"/>
            <color indexed="81"/>
            <rFont val="Tahoma"/>
            <family val="2"/>
          </rPr>
          <t>Mitchell Eden:</t>
        </r>
        <r>
          <rPr>
            <sz val="9"/>
            <color indexed="81"/>
            <rFont val="Tahoma"/>
            <family val="2"/>
          </rPr>
          <t xml:space="preserve">
Use Drop Down if additional BR type needed</t>
        </r>
      </text>
    </comment>
    <comment ref="I32" authorId="0" shapeId="0" xr:uid="{FB42174A-E510-4E3F-B20B-811D29694CB2}">
      <text>
        <r>
          <rPr>
            <sz val="9"/>
            <color indexed="81"/>
            <rFont val="Tahoma"/>
            <family val="2"/>
          </rPr>
          <t xml:space="preserve">The cells below are unlocked. In the event the project has different UAs for the same bedroom size (i.e due to HAP contract) please overwrite formula </t>
        </r>
      </text>
    </comment>
    <comment ref="M32" authorId="0" shapeId="0" xr:uid="{00000000-0006-0000-1000-000008000000}">
      <text>
        <r>
          <rPr>
            <b/>
            <sz val="9"/>
            <color indexed="81"/>
            <rFont val="Tahoma"/>
            <family val="2"/>
          </rPr>
          <t>Mitchell Eden:</t>
        </r>
        <r>
          <rPr>
            <sz val="9"/>
            <color indexed="81"/>
            <rFont val="Tahoma"/>
            <family val="2"/>
          </rPr>
          <t xml:space="preserve">
Data needs to be entered into this column in order for data to pull forward to MH Underwriting tab</t>
        </r>
      </text>
    </comment>
    <comment ref="R33" authorId="0" shapeId="0" xr:uid="{00000000-0006-0000-1000-000009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34" authorId="0" shapeId="0" xr:uid="{00000000-0006-0000-1000-00000A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35" authorId="0" shapeId="0" xr:uid="{00000000-0006-0000-1000-00000B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36" authorId="0" shapeId="0" xr:uid="{00000000-0006-0000-1000-00000C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37" authorId="0" shapeId="0" xr:uid="{00000000-0006-0000-1000-00000D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38" authorId="0" shapeId="0" xr:uid="{00000000-0006-0000-1000-00000E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39" authorId="0" shapeId="0" xr:uid="{00000000-0006-0000-1000-00000F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40" authorId="0" shapeId="0" xr:uid="{00000000-0006-0000-1000-000010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41" authorId="0" shapeId="0" xr:uid="{00000000-0006-0000-1000-000011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42" authorId="0" shapeId="0" xr:uid="{00000000-0006-0000-1000-000012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43" authorId="0" shapeId="0" xr:uid="{00000000-0006-0000-1000-000013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44" authorId="0" shapeId="0" xr:uid="{00000000-0006-0000-1000-000014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45" authorId="0" shapeId="0" xr:uid="{00000000-0006-0000-1000-000015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46" authorId="0" shapeId="0" xr:uid="{00000000-0006-0000-1000-000016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47" authorId="0" shapeId="0" xr:uid="{00000000-0006-0000-1000-000017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48" authorId="0" shapeId="0" xr:uid="{00000000-0006-0000-1000-000018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49" authorId="0" shapeId="0" xr:uid="{00000000-0006-0000-1000-000019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50" authorId="0" shapeId="0" xr:uid="{00000000-0006-0000-1000-00001A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51" authorId="0" shapeId="0" xr:uid="{00000000-0006-0000-1000-00001B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52" authorId="0" shapeId="0" xr:uid="{00000000-0006-0000-1000-00001C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53" authorId="0" shapeId="0" xr:uid="{00000000-0006-0000-1000-00001D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54" authorId="0" shapeId="0" xr:uid="{00000000-0006-0000-1000-00001E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 ref="R55" authorId="0" shapeId="0" xr:uid="{00000000-0006-0000-1000-00001F000000}">
      <text>
        <r>
          <rPr>
            <b/>
            <sz val="9"/>
            <color indexed="81"/>
            <rFont val="Tahoma"/>
            <family val="2"/>
          </rPr>
          <t>Mitchell Eden:</t>
        </r>
        <r>
          <rPr>
            <sz val="9"/>
            <color indexed="81"/>
            <rFont val="Tahoma"/>
            <family val="2"/>
          </rPr>
          <t xml:space="preserve">
If cell is highlighted yellow and rent in column G is less than LIHTC maximum manual overide this cell to applicable 60% AMI rent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Mitchell Eden</author>
    <author>Ryan Kim</author>
    <author>Joe Collyar</author>
  </authors>
  <commentList>
    <comment ref="Y10" authorId="0" shapeId="0" xr:uid="{CE83C870-F39E-49C1-BE88-5068876E5E2D}">
      <text>
        <r>
          <rPr>
            <sz val="9"/>
            <color indexed="81"/>
            <rFont val="Tahoma"/>
            <family val="2"/>
          </rPr>
          <t xml:space="preserve">This formula should not be changed
</t>
        </r>
      </text>
    </comment>
    <comment ref="Y11" authorId="0" shapeId="0" xr:uid="{A8E73400-BA52-4187-83A3-AAB2F25D6F42}">
      <text>
        <r>
          <rPr>
            <sz val="9"/>
            <color indexed="81"/>
            <rFont val="Tahoma"/>
            <family val="2"/>
          </rPr>
          <t xml:space="preserve">This information needs to be requested from the developer
</t>
        </r>
      </text>
    </comment>
    <comment ref="Y12" authorId="0" shapeId="0" xr:uid="{3079A772-2420-4D24-873B-0553515FDD82}">
      <text>
        <r>
          <rPr>
            <sz val="9"/>
            <color indexed="81"/>
            <rFont val="Tahoma"/>
            <family val="2"/>
          </rPr>
          <t>This needs to be confirmed by the developer</t>
        </r>
      </text>
    </comment>
    <comment ref="Y13" authorId="0" shapeId="0" xr:uid="{42912DD5-7D90-42B6-9723-FFC8EB34B4D3}">
      <text>
        <r>
          <rPr>
            <sz val="9"/>
            <color indexed="81"/>
            <rFont val="Tahoma"/>
            <family val="2"/>
          </rPr>
          <t>This should be discussed with both the developer and management</t>
        </r>
      </text>
    </comment>
    <comment ref="Y14" authorId="0" shapeId="0" xr:uid="{E65711F4-283F-4AA6-95EE-299CE3490A9E}">
      <text>
        <r>
          <rPr>
            <sz val="9"/>
            <color indexed="81"/>
            <rFont val="Tahoma"/>
            <family val="2"/>
          </rPr>
          <t>This formula should not be changed</t>
        </r>
      </text>
    </comment>
    <comment ref="G73" authorId="0" shapeId="0" xr:uid="{00000000-0006-0000-1B00-000001000000}">
      <text>
        <r>
          <rPr>
            <b/>
            <sz val="9"/>
            <color indexed="81"/>
            <rFont val="Tahoma"/>
            <family val="2"/>
          </rPr>
          <t>Override this cell as underwriting progresses</t>
        </r>
        <r>
          <rPr>
            <sz val="9"/>
            <color indexed="81"/>
            <rFont val="Tahoma"/>
            <family val="2"/>
          </rPr>
          <t xml:space="preserve">
</t>
        </r>
      </text>
    </comment>
    <comment ref="P73" authorId="0" shapeId="0" xr:uid="{00000000-0006-0000-1B00-000002000000}">
      <text>
        <r>
          <rPr>
            <b/>
            <sz val="9"/>
            <color indexed="81"/>
            <rFont val="Tahoma"/>
            <family val="2"/>
          </rPr>
          <t>Update construction period and months to close in construction loan interest estimate section to change</t>
        </r>
        <r>
          <rPr>
            <sz val="9"/>
            <color indexed="81"/>
            <rFont val="Tahoma"/>
            <family val="2"/>
          </rPr>
          <t xml:space="preserve">
</t>
        </r>
      </text>
    </comment>
    <comment ref="F78" authorId="1" shapeId="0" xr:uid="{00000000-0006-0000-1B00-000003000000}">
      <text>
        <r>
          <rPr>
            <b/>
            <sz val="9"/>
            <color indexed="81"/>
            <rFont val="Tahoma"/>
            <family val="2"/>
          </rPr>
          <t>&lt;[[DEVDeals] - [Funding (Seq: 1)] All DEV Funding Sources - Get]&gt;</t>
        </r>
      </text>
    </comment>
    <comment ref="F79" authorId="1" shapeId="0" xr:uid="{00000000-0006-0000-1B00-000004000000}">
      <text>
        <r>
          <rPr>
            <b/>
            <sz val="9"/>
            <color indexed="81"/>
            <rFont val="Tahoma"/>
            <family val="2"/>
          </rPr>
          <t>&lt;[[DEVDeals] - [Funding (Seq: 2)] All DEV Funding Sources - Get]&gt;</t>
        </r>
      </text>
    </comment>
    <comment ref="F80" authorId="1" shapeId="0" xr:uid="{00000000-0006-0000-1B00-000005000000}">
      <text>
        <r>
          <rPr>
            <b/>
            <sz val="9"/>
            <color indexed="81"/>
            <rFont val="Tahoma"/>
            <family val="2"/>
          </rPr>
          <t>&lt;[[DEVDeals] - [Funding (Seq: 3)] All DEV Funding Sources - Get]&gt;</t>
        </r>
      </text>
    </comment>
    <comment ref="F81" authorId="1" shapeId="0" xr:uid="{00000000-0006-0000-1B00-000006000000}">
      <text>
        <r>
          <rPr>
            <b/>
            <sz val="9"/>
            <color indexed="81"/>
            <rFont val="Tahoma"/>
            <family val="2"/>
          </rPr>
          <t>&lt;[[DEVDeals] - [Funding (Seq: 6)] All DEV Funding Sources - Get]&gt;</t>
        </r>
      </text>
    </comment>
    <comment ref="F83" authorId="1" shapeId="0" xr:uid="{00000000-0006-0000-1B00-000007000000}">
      <text>
        <r>
          <rPr>
            <b/>
            <sz val="9"/>
            <color indexed="81"/>
            <rFont val="Tahoma"/>
            <family val="2"/>
          </rPr>
          <t>&lt;[[DEVDeals] - [Funding (Seq: 7)] All DEV Funding Sources - Get]&gt;</t>
        </r>
      </text>
    </comment>
    <comment ref="Y83" authorId="2" shapeId="0" xr:uid="{00000000-0006-0000-1B00-000008000000}">
      <text>
        <r>
          <rPr>
            <b/>
            <sz val="9"/>
            <color indexed="81"/>
            <rFont val="Tahoma"/>
            <family val="2"/>
          </rPr>
          <t>Joe Collyar:</t>
        </r>
        <r>
          <rPr>
            <sz val="9"/>
            <color indexed="81"/>
            <rFont val="Tahoma"/>
            <family val="2"/>
          </rPr>
          <t xml:space="preserve">
Min TE amount needs to be captured, but is not going to be used as a Source.</t>
        </r>
      </text>
    </comment>
    <comment ref="A84" authorId="2" shapeId="0" xr:uid="{00000000-0006-0000-1B00-000009000000}">
      <text>
        <r>
          <rPr>
            <b/>
            <sz val="9"/>
            <color indexed="81"/>
            <rFont val="Tahoma"/>
            <family val="2"/>
          </rPr>
          <t>Joe Collyar:</t>
        </r>
        <r>
          <rPr>
            <sz val="9"/>
            <color indexed="81"/>
            <rFont val="Tahoma"/>
            <family val="2"/>
          </rPr>
          <t xml:space="preserve">
Rows 85 and 88-90 hidden. Rehide when delivering final product.</t>
        </r>
      </text>
    </comment>
    <comment ref="F84" authorId="1" shapeId="0" xr:uid="{00000000-0006-0000-1B00-00000A000000}">
      <text>
        <r>
          <rPr>
            <b/>
            <sz val="9"/>
            <color indexed="81"/>
            <rFont val="Tahoma"/>
            <family val="2"/>
          </rPr>
          <t>&lt;[[DEVDeals] - [Funding (Seq: 8)] All DEV Funding Sources - Get]&gt;</t>
        </r>
      </text>
    </comment>
    <comment ref="F85" authorId="1" shapeId="0" xr:uid="{00000000-0006-0000-1B00-00000B000000}">
      <text>
        <r>
          <rPr>
            <b/>
            <sz val="9"/>
            <color indexed="81"/>
            <rFont val="Tahoma"/>
            <family val="2"/>
          </rPr>
          <t>&lt;[[DEVDeals] - [Funding (Seq: 9)] All DEV Funding Sources - Get]&gt;</t>
        </r>
      </text>
    </comment>
    <comment ref="F86" authorId="1" shapeId="0" xr:uid="{00000000-0006-0000-1B00-00000C000000}">
      <text>
        <r>
          <rPr>
            <b/>
            <sz val="9"/>
            <color indexed="81"/>
            <rFont val="Tahoma"/>
            <family val="2"/>
          </rPr>
          <t>&lt;[[DEVDeals] - [Funding (Seq: 10)] All DEV Funding Sources - Get]&gt;</t>
        </r>
      </text>
    </comment>
    <comment ref="X86" authorId="1" shapeId="0" xr:uid="{00000000-0006-0000-1B00-00000D000000}">
      <text>
        <r>
          <rPr>
            <b/>
            <sz val="9"/>
            <color indexed="81"/>
            <rFont val="Tahoma"/>
            <family val="2"/>
          </rPr>
          <t>&lt;[[DEVDeals] - [Funding (Seq: 4)] All DEV Funding Sources - Get]&gt;</t>
        </r>
      </text>
    </comment>
    <comment ref="F87" authorId="1" shapeId="0" xr:uid="{00000000-0006-0000-1B00-00000E000000}">
      <text>
        <r>
          <rPr>
            <b/>
            <sz val="9"/>
            <color indexed="81"/>
            <rFont val="Tahoma"/>
            <family val="2"/>
          </rPr>
          <t>&lt;[[DEVDeals] - [Funding (Seq: 11)] All DEV Funding Sources - Get]&gt;</t>
        </r>
      </text>
    </comment>
    <comment ref="F88" authorId="1" shapeId="0" xr:uid="{00000000-0006-0000-1B00-00000F000000}">
      <text>
        <r>
          <rPr>
            <b/>
            <sz val="9"/>
            <color indexed="81"/>
            <rFont val="Tahoma"/>
            <family val="2"/>
          </rPr>
          <t>&lt;[[DEVDeals] - [Funding (Seq: 12)] All DEV Funding Sources - Get]&gt;</t>
        </r>
      </text>
    </comment>
    <comment ref="F90" authorId="1" shapeId="0" xr:uid="{00000000-0006-0000-1B00-000010000000}">
      <text>
        <r>
          <rPr>
            <b/>
            <sz val="9"/>
            <color indexed="81"/>
            <rFont val="Tahoma"/>
            <family val="2"/>
          </rPr>
          <t>&lt;[[DEVDeals] - [Funding (Seq: 13)] All DEV Funding Sources - Get]&gt;</t>
        </r>
      </text>
    </comment>
    <comment ref="X90" authorId="1" shapeId="0" xr:uid="{00000000-0006-0000-1B00-000011000000}">
      <text>
        <r>
          <rPr>
            <b/>
            <sz val="9"/>
            <color indexed="81"/>
            <rFont val="Tahoma"/>
            <family val="2"/>
          </rPr>
          <t>&lt;[[DEVDeals] - [Funding (Seq: 5)] All DEV Funding Sources - Get]&gt;</t>
        </r>
      </text>
    </comment>
    <comment ref="F92" authorId="1" shapeId="0" xr:uid="{00000000-0006-0000-1B00-000012000000}">
      <text>
        <r>
          <rPr>
            <b/>
            <sz val="9"/>
            <color indexed="81"/>
            <rFont val="Tahoma"/>
            <family val="2"/>
          </rPr>
          <t>&lt;[[DEVDeals] - [Funding (Seq: 14)] All DEV Funding Sources - Get]&gt;</t>
        </r>
      </text>
    </comment>
    <comment ref="F93" authorId="1" shapeId="0" xr:uid="{00000000-0006-0000-1B00-000013000000}">
      <text>
        <r>
          <rPr>
            <b/>
            <sz val="9"/>
            <color indexed="81"/>
            <rFont val="Tahoma"/>
            <family val="2"/>
          </rPr>
          <t>&lt;[[DEVDeals] - [Funding (Seq: 15)] All DEV Funding Sources - Get]&gt;</t>
        </r>
      </text>
    </comment>
    <comment ref="F94" authorId="1" shapeId="0" xr:uid="{00000000-0006-0000-1B00-000014000000}">
      <text>
        <r>
          <rPr>
            <b/>
            <sz val="9"/>
            <color indexed="81"/>
            <rFont val="Tahoma"/>
            <family val="2"/>
          </rPr>
          <t>&lt;[[DEVDeals] - [Funding (Seq: 16)] All DEV Funding Sources - Get]&gt;</t>
        </r>
      </text>
    </comment>
    <comment ref="F95" authorId="1" shapeId="0" xr:uid="{00000000-0006-0000-1B00-000015000000}">
      <text>
        <r>
          <rPr>
            <b/>
            <sz val="9"/>
            <color indexed="81"/>
            <rFont val="Tahoma"/>
            <family val="2"/>
          </rPr>
          <t>&lt;[[DEVDeals] - [Funding (Seq: 17)] All DEV Funding Sources - Get]&gt;</t>
        </r>
      </text>
    </comment>
    <comment ref="F96" authorId="1" shapeId="0" xr:uid="{00000000-0006-0000-1B00-000016000000}">
      <text>
        <r>
          <rPr>
            <b/>
            <sz val="9"/>
            <color indexed="81"/>
            <rFont val="Tahoma"/>
            <family val="2"/>
          </rPr>
          <t>&lt;[[DEVDeals] - [Funding (Seq: 18)] All DEV Funding Sources - Get]&gt;</t>
        </r>
      </text>
    </comment>
    <comment ref="F97" authorId="1" shapeId="0" xr:uid="{00000000-0006-0000-1B00-000017000000}">
      <text>
        <r>
          <rPr>
            <b/>
            <sz val="9"/>
            <color indexed="81"/>
            <rFont val="Tahoma"/>
            <family val="2"/>
          </rPr>
          <t>&lt;[[DEVDeals] - [Funding (Seq: 19)] All DEV Funding Sources - Get]&gt;</t>
        </r>
      </text>
    </comment>
    <comment ref="F98" authorId="1" shapeId="0" xr:uid="{00000000-0006-0000-1B00-000018000000}">
      <text>
        <r>
          <rPr>
            <b/>
            <sz val="9"/>
            <color indexed="81"/>
            <rFont val="Tahoma"/>
            <family val="2"/>
          </rPr>
          <t>&lt;[[DEVDeals] - [Funding (Seq: 20)] All DEV Funding Sources - Get]&gt;</t>
        </r>
      </text>
    </comment>
    <comment ref="F99" authorId="1" shapeId="0" xr:uid="{00000000-0006-0000-1B00-000019000000}">
      <text>
        <r>
          <rPr>
            <b/>
            <sz val="9"/>
            <color indexed="81"/>
            <rFont val="Tahoma"/>
            <family val="2"/>
          </rPr>
          <t>&lt;[[DEVDeals] - [Funding (Seq: 21)] All DEV Funding Sources - Get]&gt;</t>
        </r>
      </text>
    </comment>
    <comment ref="I214" authorId="2" shapeId="0" xr:uid="{00000000-0006-0000-1B00-00001A000000}">
      <text>
        <r>
          <rPr>
            <b/>
            <sz val="9"/>
            <color indexed="81"/>
            <rFont val="Tahoma"/>
            <family val="2"/>
          </rPr>
          <t>Joe Collyar:</t>
        </r>
        <r>
          <rPr>
            <sz val="9"/>
            <color indexed="81"/>
            <rFont val="Tahoma"/>
            <family val="2"/>
          </rPr>
          <t xml:space="preserve">
Bring in values from 218 and down.</t>
        </r>
      </text>
    </comment>
    <comment ref="K255" authorId="2" shapeId="0" xr:uid="{00000000-0006-0000-1B00-00001B000000}">
      <text>
        <r>
          <rPr>
            <b/>
            <sz val="9"/>
            <color indexed="81"/>
            <rFont val="Tahoma"/>
            <family val="2"/>
          </rPr>
          <t>Joe Collyar:</t>
        </r>
        <r>
          <rPr>
            <sz val="9"/>
            <color indexed="81"/>
            <rFont val="Tahoma"/>
            <family val="2"/>
          </rPr>
          <t xml:space="preserve">
Pull in values from wherever Year 15 value is located. Can be in column I or J</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Cindy Wardwell</author>
    <author>Joe Collyar</author>
  </authors>
  <commentList>
    <comment ref="A4" authorId="0" shapeId="0" xr:uid="{00000000-0006-0000-1C00-000001000000}">
      <text>
        <r>
          <rPr>
            <b/>
            <sz val="9"/>
            <color indexed="81"/>
            <rFont val="Tahoma"/>
            <family val="2"/>
          </rPr>
          <t>1 = New Construction
2 = Aqusition/Rehab
3 = Rehab only</t>
        </r>
        <r>
          <rPr>
            <sz val="9"/>
            <color indexed="81"/>
            <rFont val="Tahoma"/>
            <family val="2"/>
          </rPr>
          <t xml:space="preserve">
</t>
        </r>
      </text>
    </comment>
    <comment ref="N4" authorId="0" shapeId="0" xr:uid="{00000000-0006-0000-1C00-000002000000}">
      <text>
        <r>
          <rPr>
            <b/>
            <sz val="9"/>
            <color indexed="81"/>
            <rFont val="Tahoma"/>
            <family val="2"/>
          </rPr>
          <t>Use Acquisiton percentage</t>
        </r>
        <r>
          <rPr>
            <sz val="9"/>
            <color indexed="81"/>
            <rFont val="Tahoma"/>
            <family val="2"/>
          </rPr>
          <t xml:space="preserve">
</t>
        </r>
      </text>
    </comment>
    <comment ref="P4" authorId="0" shapeId="0" xr:uid="{00000000-0006-0000-1C00-000003000000}">
      <text>
        <r>
          <rPr>
            <b/>
            <sz val="9"/>
            <color indexed="81"/>
            <rFont val="Tahoma"/>
            <family val="2"/>
          </rPr>
          <t>Use Rehab percentage if 4% TC</t>
        </r>
        <r>
          <rPr>
            <sz val="9"/>
            <color indexed="81"/>
            <rFont val="Tahoma"/>
            <family val="2"/>
          </rPr>
          <t xml:space="preserve">
</t>
        </r>
      </text>
    </comment>
    <comment ref="R4" authorId="0" shapeId="0" xr:uid="{00000000-0006-0000-1C00-000004000000}">
      <text>
        <r>
          <rPr>
            <b/>
            <sz val="9"/>
            <color indexed="81"/>
            <rFont val="Tahoma"/>
            <family val="2"/>
          </rPr>
          <t>Use Rehab percentage if 9% TC</t>
        </r>
        <r>
          <rPr>
            <sz val="9"/>
            <color indexed="81"/>
            <rFont val="Tahoma"/>
            <family val="2"/>
          </rPr>
          <t xml:space="preserve">
</t>
        </r>
      </text>
    </comment>
    <comment ref="BF10" authorId="0" shapeId="0" xr:uid="{00000000-0006-0000-1C00-000005000000}">
      <text>
        <r>
          <rPr>
            <sz val="9"/>
            <color indexed="81"/>
            <rFont val="Tahoma"/>
            <family val="2"/>
          </rPr>
          <t xml:space="preserve">The GAP total should match the Limited Partner Capital Contribution on the cost certfication
</t>
        </r>
      </text>
    </comment>
    <comment ref="BK10" authorId="0" shapeId="0" xr:uid="{00000000-0006-0000-1C00-000006000000}">
      <text>
        <r>
          <rPr>
            <sz val="9"/>
            <color indexed="81"/>
            <rFont val="Tahoma"/>
            <family val="2"/>
          </rPr>
          <t xml:space="preserve">Verify this total is not more than alloted in the Carryover Allocation 
</t>
        </r>
      </text>
    </comment>
    <comment ref="F11" authorId="0" shapeId="0" xr:uid="{00000000-0006-0000-1C00-000007000000}">
      <text>
        <r>
          <rPr>
            <b/>
            <sz val="9"/>
            <color indexed="81"/>
            <rFont val="Tahoma"/>
            <family val="2"/>
          </rPr>
          <t>From the last Project Requisition/Accounting form you receive from the construction analyst add the subtotal of previous requisitions, this requisition and the AIA balance to finish.  Compare this total with A19 the Total construction line.  The variance is the FFE that is not included in the construction contract.  Oriole Way is an example.</t>
        </r>
        <r>
          <rPr>
            <sz val="9"/>
            <color indexed="81"/>
            <rFont val="Tahoma"/>
            <family val="2"/>
          </rPr>
          <t xml:space="preserve">
</t>
        </r>
      </text>
    </comment>
    <comment ref="AA11" authorId="0" shapeId="0" xr:uid="{00000000-0006-0000-1C00-000008000000}">
      <text>
        <r>
          <rPr>
            <sz val="9"/>
            <color indexed="81"/>
            <rFont val="Tahoma"/>
            <family val="2"/>
          </rPr>
          <t xml:space="preserve">This is dwelling square footage
</t>
        </r>
      </text>
    </comment>
    <comment ref="AY12" authorId="0" shapeId="0" xr:uid="{00000000-0006-0000-1C00-000009000000}">
      <text>
        <r>
          <rPr>
            <b/>
            <sz val="9"/>
            <color indexed="81"/>
            <rFont val="Tahoma"/>
            <family val="2"/>
          </rPr>
          <t>Many times this number does not match the accountant exactly because the accountant rounds the applicable fraction and this formula does not.  It does not matter if there is excess basis.  Adjust to accounant.</t>
        </r>
        <r>
          <rPr>
            <sz val="9"/>
            <color indexed="81"/>
            <rFont val="Tahoma"/>
            <family val="2"/>
          </rPr>
          <t xml:space="preserve">
</t>
        </r>
      </text>
    </comment>
    <comment ref="BI12" authorId="1" shapeId="0" xr:uid="{00000000-0006-0000-1C00-00000A000000}">
      <text>
        <r>
          <rPr>
            <b/>
            <sz val="9"/>
            <color indexed="81"/>
            <rFont val="Tahoma"/>
            <family val="2"/>
          </rPr>
          <t>Joe Collyar:</t>
        </r>
        <r>
          <rPr>
            <sz val="9"/>
            <color indexed="81"/>
            <rFont val="Tahoma"/>
            <family val="2"/>
          </rPr>
          <t xml:space="preserve">
Amounts below are what is important from this sheet.</t>
        </r>
      </text>
    </comment>
    <comment ref="A34" authorId="0" shapeId="0" xr:uid="{00000000-0006-0000-1C00-00000B000000}">
      <text>
        <r>
          <rPr>
            <b/>
            <sz val="9"/>
            <color indexed="81"/>
            <rFont val="Tahoma"/>
            <family val="2"/>
          </rPr>
          <t>A portion of market study costs may be allocated to the aquisiton.  The allocation matters more if they receive the boost and it is a true sale and not just a related party transfer of ownership.</t>
        </r>
        <r>
          <rPr>
            <sz val="9"/>
            <color indexed="81"/>
            <rFont val="Tahoma"/>
            <family val="2"/>
          </rPr>
          <t xml:space="preserve">
</t>
        </r>
        <r>
          <rPr>
            <b/>
            <sz val="9"/>
            <color indexed="81"/>
            <rFont val="Tahoma"/>
            <family val="2"/>
          </rPr>
          <t>You don't want the IRS deeming it ineligible later.</t>
        </r>
      </text>
    </comment>
    <comment ref="A35" authorId="0" shapeId="0" xr:uid="{00000000-0006-0000-1C00-00000C000000}">
      <text>
        <r>
          <rPr>
            <sz val="9"/>
            <color indexed="81"/>
            <rFont val="Tahoma"/>
            <family val="2"/>
          </rPr>
          <t>A portion of the appraisal costs may be allocated to acquisiton
The allocation matters more if they receive the boost and it is a true sale and not just a related party transfer of ownership.  You don't want the IRS deeming it ineligible later.</t>
        </r>
      </text>
    </comment>
    <comment ref="A49" authorId="0" shapeId="0" xr:uid="{00000000-0006-0000-1C00-00000D000000}">
      <text>
        <r>
          <rPr>
            <b/>
            <sz val="9"/>
            <color indexed="81"/>
            <rFont val="Tahoma"/>
            <family val="2"/>
          </rPr>
          <t>A portion of the Developer costs may be allocated to acquisiton.
The allocation matters more if they receive the boost and it is a true sale and not just a related party transfer of ownership.  You don't want the IRS deeming it ineligible later.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Joe Collyar</author>
  </authors>
  <commentList>
    <comment ref="E2" authorId="0" shapeId="0" xr:uid="{00000000-0006-0000-1D00-000001000000}">
      <text>
        <r>
          <rPr>
            <b/>
            <sz val="9"/>
            <color indexed="81"/>
            <rFont val="Tahoma"/>
            <family val="2"/>
          </rPr>
          <t>Joe Collyar:</t>
        </r>
        <r>
          <rPr>
            <sz val="9"/>
            <color indexed="81"/>
            <rFont val="Tahoma"/>
            <family val="2"/>
          </rPr>
          <t xml:space="preserve">
Nothing needed here. Move 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jwainer</author>
  </authors>
  <commentList>
    <comment ref="J37" authorId="0" shapeId="0" xr:uid="{00000000-0006-0000-1E00-000001000000}">
      <text>
        <r>
          <rPr>
            <b/>
            <sz val="8"/>
            <color indexed="81"/>
            <rFont val="Tahoma"/>
            <family val="2"/>
          </rPr>
          <t>jwainer:</t>
        </r>
        <r>
          <rPr>
            <sz val="8"/>
            <color indexed="81"/>
            <rFont val="Tahoma"/>
            <family val="2"/>
          </rPr>
          <t xml:space="preserve">
This is the Function as math. The carrot means a power/exponent.</t>
        </r>
      </text>
    </comment>
    <comment ref="I39" authorId="0" shapeId="0" xr:uid="{00000000-0006-0000-1E00-000002000000}">
      <text>
        <r>
          <rPr>
            <b/>
            <sz val="8"/>
            <color indexed="81"/>
            <rFont val="Tahoma"/>
            <family val="2"/>
          </rPr>
          <t>jwainer:</t>
        </r>
        <r>
          <rPr>
            <sz val="8"/>
            <color indexed="81"/>
            <rFont val="Tahoma"/>
            <family val="2"/>
          </rPr>
          <t xml:space="preserve">
This is the amount of money (B8) that would need to be invested at the indicated interest rate (C8) for the term of years (D8) to equal E8 or E7. This formula "reverses" the original formula.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Ryan Kim</author>
    <author>Joe Collyar</author>
    <author>Kelly Purington</author>
  </authors>
  <commentList>
    <comment ref="B4" authorId="0" shapeId="0" xr:uid="{00000000-0006-0000-2100-000001000000}">
      <text>
        <r>
          <rPr>
            <b/>
            <sz val="9"/>
            <color indexed="81"/>
            <rFont val="Tahoma"/>
            <family val="2"/>
          </rPr>
          <t>&lt;[[DEVDeals] - [DEV User Defined Fields (Seq: 1)] Additional Project Information - MSHA Project Number - Both]&gt;</t>
        </r>
      </text>
    </comment>
    <comment ref="I9" authorId="1" shapeId="0" xr:uid="{00000000-0006-0000-2100-000002000000}">
      <text>
        <r>
          <rPr>
            <b/>
            <sz val="9"/>
            <color indexed="81"/>
            <rFont val="Tahoma"/>
            <family val="2"/>
          </rPr>
          <t>&lt;[[DEVDeals] - [Property (Seq: 1)] Address1 - Send]&gt;</t>
        </r>
      </text>
    </comment>
    <comment ref="M9" authorId="1" shapeId="0" xr:uid="{00000000-0006-0000-2100-000003000000}">
      <text>
        <r>
          <rPr>
            <b/>
            <sz val="9"/>
            <color indexed="81"/>
            <rFont val="Tahoma"/>
            <family val="2"/>
          </rPr>
          <t>&lt;[[DEVDeals] - [Associated TC Deal (Seq: 1)] - [TC Property Current Stage (Seq: 1)] Address1 - Send]&gt;</t>
        </r>
      </text>
    </comment>
    <comment ref="I10" authorId="1" shapeId="0" xr:uid="{00000000-0006-0000-2100-000004000000}">
      <text>
        <r>
          <rPr>
            <b/>
            <sz val="9"/>
            <color indexed="81"/>
            <rFont val="Tahoma"/>
            <family val="2"/>
          </rPr>
          <t>&lt;[[DEVDeals] - [Property (Seq: 1)] City - Send]&gt;</t>
        </r>
      </text>
    </comment>
    <comment ref="M10" authorId="1" shapeId="0" xr:uid="{00000000-0006-0000-2100-000005000000}">
      <text>
        <r>
          <rPr>
            <b/>
            <sz val="9"/>
            <color indexed="81"/>
            <rFont val="Tahoma"/>
            <family val="2"/>
          </rPr>
          <t>&lt;[[DEVDeals] - [Associated TC Deal (Seq: 1)] - [TC Property Current Stage (Seq: 1)] City - Send]&gt;</t>
        </r>
      </text>
    </comment>
    <comment ref="I11" authorId="1" shapeId="0" xr:uid="{00000000-0006-0000-2100-000006000000}">
      <text>
        <r>
          <rPr>
            <b/>
            <sz val="9"/>
            <color indexed="81"/>
            <rFont val="Tahoma"/>
            <family val="2"/>
          </rPr>
          <t>&lt;[[DEVDeals] - [Property (Seq: 1)] Jurisdiction - Send]&gt;</t>
        </r>
      </text>
    </comment>
    <comment ref="M11" authorId="1" shapeId="0" xr:uid="{00000000-0006-0000-2100-000007000000}">
      <text>
        <r>
          <rPr>
            <b/>
            <sz val="9"/>
            <color indexed="81"/>
            <rFont val="Tahoma"/>
            <family val="2"/>
          </rPr>
          <t>&lt;[[DEVDeals] - [Associated TC Deal (Seq: 1)] - [TC Property Current Stage (Seq: 1)] Jurisdiction - Send]&gt;</t>
        </r>
      </text>
    </comment>
    <comment ref="M12" authorId="1" shapeId="0" xr:uid="{00000000-0006-0000-2100-000008000000}">
      <text>
        <r>
          <rPr>
            <b/>
            <sz val="9"/>
            <color indexed="81"/>
            <rFont val="Tahoma"/>
            <family val="2"/>
          </rPr>
          <t>&lt;[[DEVDeals] - [Associated TC Deal (Seq: 1)] - [TC Property Current Stage (Seq: 1)] Census Tract - Send]&gt;</t>
        </r>
      </text>
    </comment>
    <comment ref="I13" authorId="1" shapeId="0" xr:uid="{00000000-0006-0000-2100-000009000000}">
      <text>
        <r>
          <rPr>
            <b/>
            <sz val="9"/>
            <color indexed="81"/>
            <rFont val="Tahoma"/>
            <family val="2"/>
          </rPr>
          <t>&lt;[[DEVDeals] DEV Deal Type - Send]&gt;</t>
        </r>
      </text>
    </comment>
    <comment ref="M13" authorId="1" shapeId="0" xr:uid="{00000000-0006-0000-2100-00000A000000}">
      <text>
        <r>
          <rPr>
            <b/>
            <sz val="9"/>
            <color indexed="81"/>
            <rFont val="Tahoma"/>
            <family val="2"/>
          </rPr>
          <t>&lt;[[DEVDeals] - [Associated TC Deal (Seq: 1)] - [TC Property Current Stage (Seq: 1)] Bldg Alloc Type - Send]&gt;</t>
        </r>
      </text>
    </comment>
    <comment ref="M14" authorId="2" shapeId="0" xr:uid="{00000000-0006-0000-2100-00000B000000}">
      <text>
        <r>
          <rPr>
            <b/>
            <sz val="9"/>
            <color indexed="81"/>
            <rFont val="Tahoma"/>
            <family val="2"/>
          </rPr>
          <t>&lt;[[DEVDeals] - [Associated TC Deal (Seq: 1)] - [TC Property Current Stage (Seq: 1)] Total Rehab Units - Send]&gt;</t>
        </r>
      </text>
    </comment>
    <comment ref="M15" authorId="2" shapeId="0" xr:uid="{00000000-0006-0000-2100-00000C000000}">
      <text>
        <r>
          <rPr>
            <b/>
            <sz val="9"/>
            <color indexed="81"/>
            <rFont val="Tahoma"/>
            <family val="2"/>
          </rPr>
          <t>&lt;[[DEVDeals] - [Associated TC Deal (Seq: 1)] - [TC Property Current Stage (Seq: 1)] Total New Units - Send]&gt;</t>
        </r>
      </text>
    </comment>
    <comment ref="I19" authorId="1" shapeId="0" xr:uid="{00000000-0006-0000-2100-00000D000000}">
      <text>
        <r>
          <rPr>
            <b/>
            <sz val="9"/>
            <color indexed="81"/>
            <rFont val="Tahoma"/>
            <family val="2"/>
          </rPr>
          <t>&lt;[[DEVDeals] - [Property (Seq: 1)] Building Type - Send]&gt;</t>
        </r>
      </text>
    </comment>
    <comment ref="M19" authorId="1" shapeId="0" xr:uid="{00000000-0006-0000-2100-00000E000000}">
      <text>
        <r>
          <rPr>
            <b/>
            <sz val="9"/>
            <color indexed="81"/>
            <rFont val="Tahoma"/>
            <family val="2"/>
          </rPr>
          <t>&lt;[[DEVDeals] - [Associated TC Deal (Seq: 1)] - [TC Property Current Stage (Seq: 1)] Building Type - Send]&gt;</t>
        </r>
      </text>
    </comment>
    <comment ref="M20" authorId="1" shapeId="0" xr:uid="{00000000-0006-0000-2100-00000F000000}">
      <text>
        <r>
          <rPr>
            <b/>
            <sz val="9"/>
            <color indexed="81"/>
            <rFont val="Tahoma"/>
            <family val="2"/>
          </rPr>
          <t>&lt;[[DEVDeals] - [Associated TC Deal (Seq: 1)] - [TC Property Current Stage (Seq: 1)] Site Control Type - Send]&gt;</t>
        </r>
      </text>
    </comment>
    <comment ref="M21" authorId="1" shapeId="0" xr:uid="{00000000-0006-0000-2100-000010000000}">
      <text>
        <r>
          <rPr>
            <b/>
            <sz val="9"/>
            <color indexed="81"/>
            <rFont val="Tahoma"/>
            <family val="2"/>
          </rPr>
          <t>&lt;[[DEVDeals] - [Associated TC Deal (Seq: 1)] - [TC Property Current Stage (Seq: 1)] Site Control Exp Date - Send]&gt;</t>
        </r>
      </text>
    </comment>
    <comment ref="I22" authorId="1" shapeId="0" xr:uid="{00000000-0006-0000-2100-000011000000}">
      <text>
        <r>
          <rPr>
            <b/>
            <sz val="9"/>
            <color indexed="81"/>
            <rFont val="Tahoma"/>
            <family val="2"/>
          </rPr>
          <t>&lt;[[DEVDeals] - [Property (Seq: 1)] Year Built - Send]&gt;</t>
        </r>
      </text>
    </comment>
    <comment ref="I24" authorId="1" shapeId="0" xr:uid="{00000000-0006-0000-2100-000012000000}">
      <text>
        <r>
          <rPr>
            <b/>
            <sz val="9"/>
            <color indexed="81"/>
            <rFont val="Tahoma"/>
            <family val="2"/>
          </rPr>
          <t>&lt;[[DEVDeals] - [Property (Seq: 1)] Is Commercial Space - Send]&gt;</t>
        </r>
      </text>
    </comment>
    <comment ref="I35" authorId="1" shapeId="0" xr:uid="{00000000-0006-0000-2100-000013000000}">
      <text>
        <r>
          <rPr>
            <b/>
            <sz val="9"/>
            <color indexed="81"/>
            <rFont val="Tahoma"/>
            <family val="2"/>
          </rPr>
          <t>&lt;[[DEVDeals] - [Deal Income Limits (Seq: 1)] Restriction Type - Send]&gt;</t>
        </r>
      </text>
    </comment>
    <comment ref="J35" authorId="1" shapeId="0" xr:uid="{00000000-0006-0000-2100-000014000000}">
      <text>
        <r>
          <rPr>
            <b/>
            <sz val="9"/>
            <color indexed="81"/>
            <rFont val="Tahoma"/>
            <family val="2"/>
          </rPr>
          <t>&lt;[[DEVDeals] - [Deal Income Limits (Seq: 1)] Percent Of Units - Send]&gt;</t>
        </r>
      </text>
    </comment>
    <comment ref="K35" authorId="1" shapeId="0" xr:uid="{00000000-0006-0000-2100-000015000000}">
      <text>
        <r>
          <rPr>
            <b/>
            <sz val="9"/>
            <color indexed="81"/>
            <rFont val="Tahoma"/>
            <family val="2"/>
          </rPr>
          <t>&lt;[[DEVDeals] - [Deal Income Limits (Seq: 1)] Count Of Units - Send]&gt;</t>
        </r>
      </text>
    </comment>
    <comment ref="L35" authorId="1" shapeId="0" xr:uid="{00000000-0006-0000-2100-000016000000}">
      <text>
        <r>
          <rPr>
            <b/>
            <sz val="9"/>
            <color indexed="81"/>
            <rFont val="Tahoma"/>
            <family val="2"/>
          </rPr>
          <t>&lt;[[DEVDeals] - [Deal Income Limits (Seq: 1)] PercentOfAMI - Send]&gt;</t>
        </r>
      </text>
    </comment>
    <comment ref="I36" authorId="1" shapeId="0" xr:uid="{00000000-0006-0000-2100-000017000000}">
      <text>
        <r>
          <rPr>
            <b/>
            <sz val="9"/>
            <color indexed="81"/>
            <rFont val="Tahoma"/>
            <family val="2"/>
          </rPr>
          <t>&lt;[[DEVDeals] - [Deal Income Limits (Seq: 2)] Restriction Type - Send]&gt;</t>
        </r>
      </text>
    </comment>
    <comment ref="J36" authorId="1" shapeId="0" xr:uid="{00000000-0006-0000-2100-000018000000}">
      <text>
        <r>
          <rPr>
            <b/>
            <sz val="9"/>
            <color indexed="81"/>
            <rFont val="Tahoma"/>
            <family val="2"/>
          </rPr>
          <t>&lt;[[DEVDeals] - [Deal Income Limits (Seq: 2)] Percent Of Units - Send]&gt;</t>
        </r>
      </text>
    </comment>
    <comment ref="K36" authorId="1" shapeId="0" xr:uid="{00000000-0006-0000-2100-000019000000}">
      <text>
        <r>
          <rPr>
            <b/>
            <sz val="9"/>
            <color indexed="81"/>
            <rFont val="Tahoma"/>
            <family val="2"/>
          </rPr>
          <t>&lt;[[DEVDeals] - [Deal Income Limits (Seq: 2)] Count Of Units - Send]&gt;</t>
        </r>
      </text>
    </comment>
    <comment ref="L36" authorId="1" shapeId="0" xr:uid="{00000000-0006-0000-2100-00001A000000}">
      <text>
        <r>
          <rPr>
            <b/>
            <sz val="9"/>
            <color indexed="81"/>
            <rFont val="Tahoma"/>
            <family val="2"/>
          </rPr>
          <t>&lt;[[DEVDeals] - [Deal Income Limits (Seq: 2)] PercentOfAMI - Send]&gt;</t>
        </r>
      </text>
    </comment>
    <comment ref="I37" authorId="1" shapeId="0" xr:uid="{00000000-0006-0000-2100-00001B000000}">
      <text>
        <r>
          <rPr>
            <b/>
            <sz val="9"/>
            <color indexed="81"/>
            <rFont val="Tahoma"/>
            <family val="2"/>
          </rPr>
          <t>&lt;[[DEVDeals] - [Deal Income Limits (Seq: 3)] Restriction Type - Send]&gt;</t>
        </r>
      </text>
    </comment>
    <comment ref="J37" authorId="1" shapeId="0" xr:uid="{00000000-0006-0000-2100-00001C000000}">
      <text>
        <r>
          <rPr>
            <b/>
            <sz val="9"/>
            <color indexed="81"/>
            <rFont val="Tahoma"/>
            <family val="2"/>
          </rPr>
          <t>&lt;[[DEVDeals] - [Deal Income Limits (Seq: 3)] Percent Of Units - Send]&gt;</t>
        </r>
      </text>
    </comment>
    <comment ref="K37" authorId="1" shapeId="0" xr:uid="{00000000-0006-0000-2100-00001D000000}">
      <text>
        <r>
          <rPr>
            <b/>
            <sz val="9"/>
            <color indexed="81"/>
            <rFont val="Tahoma"/>
            <family val="2"/>
          </rPr>
          <t>&lt;[[DEVDeals] - [Deal Income Limits (Seq: 3)] Count Of Units - Send]&gt;</t>
        </r>
      </text>
    </comment>
    <comment ref="L37" authorId="1" shapeId="0" xr:uid="{00000000-0006-0000-2100-00001E000000}">
      <text>
        <r>
          <rPr>
            <b/>
            <sz val="9"/>
            <color indexed="81"/>
            <rFont val="Tahoma"/>
            <family val="2"/>
          </rPr>
          <t>&lt;[[DEVDeals] - [Deal Income Limits (Seq: 3)] PercentOfAMI - Send]&gt;</t>
        </r>
      </text>
    </comment>
    <comment ref="I38" authorId="1" shapeId="0" xr:uid="{00000000-0006-0000-2100-00001F000000}">
      <text>
        <r>
          <rPr>
            <b/>
            <sz val="9"/>
            <color indexed="81"/>
            <rFont val="Tahoma"/>
            <family val="2"/>
          </rPr>
          <t>&lt;[[DEVDeals] - [Deal Income Limits (Seq: 4)] Restriction Type - Send]&gt;</t>
        </r>
      </text>
    </comment>
    <comment ref="J38" authorId="1" shapeId="0" xr:uid="{00000000-0006-0000-2100-000020000000}">
      <text>
        <r>
          <rPr>
            <b/>
            <sz val="9"/>
            <color indexed="81"/>
            <rFont val="Tahoma"/>
            <family val="2"/>
          </rPr>
          <t>&lt;[[DEVDeals] - [Deal Income Limits (Seq: 4)] Percent Of Units - Send]&gt;</t>
        </r>
      </text>
    </comment>
    <comment ref="K38" authorId="1" shapeId="0" xr:uid="{00000000-0006-0000-2100-000021000000}">
      <text>
        <r>
          <rPr>
            <b/>
            <sz val="9"/>
            <color indexed="81"/>
            <rFont val="Tahoma"/>
            <family val="2"/>
          </rPr>
          <t>&lt;[[DEVDeals] - [Deal Income Limits (Seq: 4)] Count Of Units - Send]&gt;</t>
        </r>
      </text>
    </comment>
    <comment ref="L38" authorId="1" shapeId="0" xr:uid="{00000000-0006-0000-2100-000022000000}">
      <text>
        <r>
          <rPr>
            <b/>
            <sz val="9"/>
            <color indexed="81"/>
            <rFont val="Tahoma"/>
            <family val="2"/>
          </rPr>
          <t>&lt;[[DEVDeals] - [Deal Income Limits (Seq: 4)] PercentOfAMI - Send]&gt;</t>
        </r>
      </text>
    </comment>
    <comment ref="H44" authorId="1" shapeId="0" xr:uid="{00000000-0006-0000-2100-000023000000}">
      <text>
        <r>
          <rPr>
            <b/>
            <sz val="9"/>
            <color indexed="81"/>
            <rFont val="Tahoma"/>
            <family val="2"/>
          </rPr>
          <t>&lt;[[DEVDeals] - [Proxy Entities (Seq: 1)] Deal Entity Role - Send]&gt;</t>
        </r>
      </text>
    </comment>
    <comment ref="I44" authorId="1" shapeId="0" xr:uid="{00000000-0006-0000-2100-000024000000}">
      <text>
        <r>
          <rPr>
            <b/>
            <sz val="9"/>
            <color indexed="81"/>
            <rFont val="Tahoma"/>
            <family val="2"/>
          </rPr>
          <t>&lt;[[DEVDeals] - [Proxy Entities (Seq: 1)] Name (Doing Business As) - Send]&gt;</t>
        </r>
      </text>
    </comment>
    <comment ref="J44" authorId="1" shapeId="0" xr:uid="{00000000-0006-0000-2100-000025000000}">
      <text>
        <r>
          <rPr>
            <b/>
            <sz val="9"/>
            <color indexed="81"/>
            <rFont val="Tahoma"/>
            <family val="2"/>
          </rPr>
          <t>&lt;[[DEVDeals] - [Proxy Entities (Seq: 1)] Company or Individual? - Send]&gt;</t>
        </r>
      </text>
    </comment>
    <comment ref="K44" authorId="1" shapeId="0" xr:uid="{00000000-0006-0000-2100-000026000000}">
      <text>
        <r>
          <rPr>
            <b/>
            <sz val="9"/>
            <color indexed="81"/>
            <rFont val="Tahoma"/>
            <family val="2"/>
          </rPr>
          <t>&lt;[[DEVDeals] - [Proxy Entities (Seq: 1)] Email Address 1 - Send]&gt;</t>
        </r>
      </text>
    </comment>
    <comment ref="L44" authorId="1" shapeId="0" xr:uid="{00000000-0006-0000-2100-000027000000}">
      <text>
        <r>
          <rPr>
            <b/>
            <sz val="9"/>
            <color indexed="81"/>
            <rFont val="Tahoma"/>
            <family val="2"/>
          </rPr>
          <t>&lt;[[DEVDeals] - [Proxy Entities (Seq: 1)] Direct Phone - Send]&gt;</t>
        </r>
      </text>
    </comment>
    <comment ref="M44" authorId="0" shapeId="0" xr:uid="{00000000-0006-0000-2100-000028000000}">
      <text>
        <r>
          <rPr>
            <b/>
            <sz val="9"/>
            <color indexed="81"/>
            <rFont val="Tahoma"/>
            <family val="2"/>
          </rPr>
          <t>&lt;[[DEVDeals] - [Proxy Entities (Seq: 1)] Tax ID Number - Send]&gt;</t>
        </r>
      </text>
    </comment>
    <comment ref="O44" authorId="1" shapeId="0" xr:uid="{00000000-0006-0000-2100-000029000000}">
      <text>
        <r>
          <rPr>
            <b/>
            <sz val="9"/>
            <color indexed="81"/>
            <rFont val="Tahoma"/>
            <family val="2"/>
          </rPr>
          <t>&lt;[[DEVDeals] - [Associated TC Deal (Seq: 1)] - [Proxy Entities (Seq: 1)] Deal Entity Role - Send]&gt;</t>
        </r>
      </text>
    </comment>
    <comment ref="P44" authorId="1" shapeId="0" xr:uid="{00000000-0006-0000-2100-00002A000000}">
      <text>
        <r>
          <rPr>
            <b/>
            <sz val="9"/>
            <color indexed="81"/>
            <rFont val="Tahoma"/>
            <family val="2"/>
          </rPr>
          <t>&lt;[[DEVDeals] - [Associated TC Deal (Seq: 1)] - [Proxy Entities (Seq: 1)] Name (Doing Business As) - Send]&gt;</t>
        </r>
      </text>
    </comment>
    <comment ref="Q44" authorId="1" shapeId="0" xr:uid="{00000000-0006-0000-2100-00002B000000}">
      <text>
        <r>
          <rPr>
            <b/>
            <sz val="9"/>
            <color indexed="81"/>
            <rFont val="Tahoma"/>
            <family val="2"/>
          </rPr>
          <t>&lt;[[DEVDeals] - [Associated TC Deal (Seq: 1)] - [Proxy Entities (Seq: 1)] Company or Individual? - Send]&gt;</t>
        </r>
      </text>
    </comment>
    <comment ref="R44" authorId="1" shapeId="0" xr:uid="{00000000-0006-0000-2100-00002C000000}">
      <text>
        <r>
          <rPr>
            <b/>
            <sz val="9"/>
            <color indexed="81"/>
            <rFont val="Tahoma"/>
            <family val="2"/>
          </rPr>
          <t>&lt;[[DEVDeals] - [Associated TC Deal (Seq: 1)] - [Proxy Entities (Seq: 1)] Email Address 1 - Send]&gt;</t>
        </r>
      </text>
    </comment>
    <comment ref="S44" authorId="1" shapeId="0" xr:uid="{00000000-0006-0000-2100-00002D000000}">
      <text>
        <r>
          <rPr>
            <b/>
            <sz val="9"/>
            <color indexed="81"/>
            <rFont val="Tahoma"/>
            <family val="2"/>
          </rPr>
          <t>&lt;[[DEVDeals] - [Associated TC Deal (Seq: 1)] - [Proxy Entities (Seq: 1)] Direct Phone - Send]&gt;</t>
        </r>
      </text>
    </comment>
    <comment ref="T44" authorId="0" shapeId="0" xr:uid="{00000000-0006-0000-2100-00002E000000}">
      <text>
        <r>
          <rPr>
            <b/>
            <sz val="9"/>
            <color indexed="81"/>
            <rFont val="Tahoma"/>
            <family val="2"/>
          </rPr>
          <t>&lt;[[DEVDeals] - [Associated TC Deal (Seq: 1)] - [Proxy Entities (Seq: 1)] Tax ID Number - Send]&gt;</t>
        </r>
      </text>
    </comment>
    <comment ref="H45" authorId="1" shapeId="0" xr:uid="{00000000-0006-0000-2100-00002F000000}">
      <text>
        <r>
          <rPr>
            <b/>
            <sz val="9"/>
            <color indexed="81"/>
            <rFont val="Tahoma"/>
            <family val="2"/>
          </rPr>
          <t>&lt;[[DEVDeals] - [Proxy Entities (Seq: 2)] Deal Entity Role - Send]&gt;</t>
        </r>
      </text>
    </comment>
    <comment ref="I45" authorId="1" shapeId="0" xr:uid="{00000000-0006-0000-2100-000030000000}">
      <text>
        <r>
          <rPr>
            <b/>
            <sz val="9"/>
            <color indexed="81"/>
            <rFont val="Tahoma"/>
            <family val="2"/>
          </rPr>
          <t>&lt;[[DEVDeals] - [Proxy Entities (Seq: 2)] Name (Doing Business As) - Send]&gt;</t>
        </r>
      </text>
    </comment>
    <comment ref="J45" authorId="1" shapeId="0" xr:uid="{00000000-0006-0000-2100-000031000000}">
      <text>
        <r>
          <rPr>
            <b/>
            <sz val="9"/>
            <color indexed="81"/>
            <rFont val="Tahoma"/>
            <family val="2"/>
          </rPr>
          <t>&lt;[[DEVDeals] - [Proxy Entities (Seq: 2)] Company or Individual? - Send]&gt;</t>
        </r>
      </text>
    </comment>
    <comment ref="K45" authorId="1" shapeId="0" xr:uid="{00000000-0006-0000-2100-000032000000}">
      <text>
        <r>
          <rPr>
            <b/>
            <sz val="9"/>
            <color indexed="81"/>
            <rFont val="Tahoma"/>
            <family val="2"/>
          </rPr>
          <t>&lt;[[DEVDeals] - [Proxy Entities (Seq: 2)] Email Address 1 - Send]&gt;</t>
        </r>
      </text>
    </comment>
    <comment ref="L45" authorId="1" shapeId="0" xr:uid="{00000000-0006-0000-2100-000033000000}">
      <text>
        <r>
          <rPr>
            <b/>
            <sz val="9"/>
            <color indexed="81"/>
            <rFont val="Tahoma"/>
            <family val="2"/>
          </rPr>
          <t>&lt;[[DEVDeals] - [Proxy Entities (Seq: 2)] Direct Phone - Send]&gt;</t>
        </r>
      </text>
    </comment>
    <comment ref="O45" authorId="1" shapeId="0" xr:uid="{00000000-0006-0000-2100-000034000000}">
      <text>
        <r>
          <rPr>
            <b/>
            <sz val="9"/>
            <color indexed="81"/>
            <rFont val="Tahoma"/>
            <family val="2"/>
          </rPr>
          <t>&lt;[[DEVDeals] - [Associated TC Deal (Seq: 1)] - [Proxy Entities (Seq: 2)] Deal Entity Role - Send]&gt;</t>
        </r>
      </text>
    </comment>
    <comment ref="P45" authorId="1" shapeId="0" xr:uid="{00000000-0006-0000-2100-000035000000}">
      <text>
        <r>
          <rPr>
            <b/>
            <sz val="9"/>
            <color indexed="81"/>
            <rFont val="Tahoma"/>
            <family val="2"/>
          </rPr>
          <t>&lt;[[DEVDeals] - [Associated TC Deal (Seq: 1)] - [Proxy Entities (Seq: 2)] Name (Doing Business As) - Send]&gt;</t>
        </r>
      </text>
    </comment>
    <comment ref="Q45" authorId="1" shapeId="0" xr:uid="{00000000-0006-0000-2100-000036000000}">
      <text>
        <r>
          <rPr>
            <b/>
            <sz val="9"/>
            <color indexed="81"/>
            <rFont val="Tahoma"/>
            <family val="2"/>
          </rPr>
          <t>&lt;[[DEVDeals] - [Associated TC Deal (Seq: 1)] - [Proxy Entities (Seq: 2)] Company or Individual? - Send]&gt;</t>
        </r>
      </text>
    </comment>
    <comment ref="R45" authorId="1" shapeId="0" xr:uid="{00000000-0006-0000-2100-000037000000}">
      <text>
        <r>
          <rPr>
            <b/>
            <sz val="9"/>
            <color indexed="81"/>
            <rFont val="Tahoma"/>
            <family val="2"/>
          </rPr>
          <t>&lt;[[DEVDeals] - [Associated TC Deal (Seq: 1)] - [Proxy Entities (Seq: 2)] Email Address 1 - Send]&gt;</t>
        </r>
      </text>
    </comment>
    <comment ref="S45" authorId="1" shapeId="0" xr:uid="{00000000-0006-0000-2100-000038000000}">
      <text>
        <r>
          <rPr>
            <b/>
            <sz val="9"/>
            <color indexed="81"/>
            <rFont val="Tahoma"/>
            <family val="2"/>
          </rPr>
          <t>&lt;[[DEVDeals] - [Associated TC Deal (Seq: 1)] - [Proxy Entities (Seq: 2)] Direct Phone - Send]&gt;</t>
        </r>
      </text>
    </comment>
    <comment ref="H46" authorId="1" shapeId="0" xr:uid="{00000000-0006-0000-2100-000039000000}">
      <text>
        <r>
          <rPr>
            <b/>
            <sz val="9"/>
            <color indexed="81"/>
            <rFont val="Tahoma"/>
            <family val="2"/>
          </rPr>
          <t>&lt;[[DEVDeals] - [Proxy Entities (Seq: 3)] Deal Entity Role - Send]&gt;</t>
        </r>
      </text>
    </comment>
    <comment ref="I46" authorId="1" shapeId="0" xr:uid="{00000000-0006-0000-2100-00003A000000}">
      <text>
        <r>
          <rPr>
            <b/>
            <sz val="9"/>
            <color indexed="81"/>
            <rFont val="Tahoma"/>
            <family val="2"/>
          </rPr>
          <t>&lt;[[DEVDeals] - [Proxy Entities (Seq: 3)] Name (Doing Business As) - Send]&gt;</t>
        </r>
      </text>
    </comment>
    <comment ref="J46" authorId="1" shapeId="0" xr:uid="{00000000-0006-0000-2100-00003B000000}">
      <text>
        <r>
          <rPr>
            <b/>
            <sz val="9"/>
            <color indexed="81"/>
            <rFont val="Tahoma"/>
            <family val="2"/>
          </rPr>
          <t>&lt;[[DEVDeals] - [Proxy Entities (Seq: 3)] Company or Individual? - Send]&gt;</t>
        </r>
      </text>
    </comment>
    <comment ref="K46" authorId="1" shapeId="0" xr:uid="{00000000-0006-0000-2100-00003C000000}">
      <text>
        <r>
          <rPr>
            <b/>
            <sz val="9"/>
            <color indexed="81"/>
            <rFont val="Tahoma"/>
            <family val="2"/>
          </rPr>
          <t>&lt;[[DEVDeals] - [Proxy Entities (Seq: 3)] Email Address 1 - Send]&gt;</t>
        </r>
      </text>
    </comment>
    <comment ref="L46" authorId="1" shapeId="0" xr:uid="{00000000-0006-0000-2100-00003D000000}">
      <text>
        <r>
          <rPr>
            <b/>
            <sz val="9"/>
            <color indexed="81"/>
            <rFont val="Tahoma"/>
            <family val="2"/>
          </rPr>
          <t>&lt;[[DEVDeals] - [Proxy Entities (Seq: 3)] Direct Phone - Send]&gt;</t>
        </r>
      </text>
    </comment>
    <comment ref="O46" authorId="1" shapeId="0" xr:uid="{00000000-0006-0000-2100-00003E000000}">
      <text>
        <r>
          <rPr>
            <b/>
            <sz val="9"/>
            <color indexed="81"/>
            <rFont val="Tahoma"/>
            <family val="2"/>
          </rPr>
          <t>&lt;[[DEVDeals] - [Associated TC Deal (Seq: 1)] - [Proxy Entities (Seq: 3)] Deal Entity Role - Send]&gt;</t>
        </r>
      </text>
    </comment>
    <comment ref="P46" authorId="1" shapeId="0" xr:uid="{00000000-0006-0000-2100-00003F000000}">
      <text>
        <r>
          <rPr>
            <b/>
            <sz val="9"/>
            <color indexed="81"/>
            <rFont val="Tahoma"/>
            <family val="2"/>
          </rPr>
          <t>&lt;[[DEVDeals] - [Associated TC Deal (Seq: 1)] - [Proxy Entities (Seq: 3)] Name (Doing Business As) - Send]&gt;</t>
        </r>
      </text>
    </comment>
    <comment ref="Q46" authorId="1" shapeId="0" xr:uid="{00000000-0006-0000-2100-000040000000}">
      <text>
        <r>
          <rPr>
            <b/>
            <sz val="9"/>
            <color indexed="81"/>
            <rFont val="Tahoma"/>
            <family val="2"/>
          </rPr>
          <t>&lt;[[DEVDeals] - [Associated TC Deal (Seq: 1)] - [Proxy Entities (Seq: 3)] Company or Individual? - Send]&gt;</t>
        </r>
      </text>
    </comment>
    <comment ref="R46" authorId="1" shapeId="0" xr:uid="{00000000-0006-0000-2100-000041000000}">
      <text>
        <r>
          <rPr>
            <b/>
            <sz val="9"/>
            <color indexed="81"/>
            <rFont val="Tahoma"/>
            <family val="2"/>
          </rPr>
          <t>&lt;[[DEVDeals] - [Associated TC Deal (Seq: 1)] - [Proxy Entities (Seq: 3)] Email Address 1 - Send]&gt;</t>
        </r>
      </text>
    </comment>
    <comment ref="S46" authorId="1" shapeId="0" xr:uid="{00000000-0006-0000-2100-000042000000}">
      <text>
        <r>
          <rPr>
            <b/>
            <sz val="9"/>
            <color indexed="81"/>
            <rFont val="Tahoma"/>
            <family val="2"/>
          </rPr>
          <t>&lt;[[DEVDeals] - [Associated TC Deal (Seq: 1)] - [Proxy Entities (Seq: 3)] Direct Phone - Send]&gt;</t>
        </r>
      </text>
    </comment>
    <comment ref="H47" authorId="1" shapeId="0" xr:uid="{00000000-0006-0000-2100-000043000000}">
      <text>
        <r>
          <rPr>
            <b/>
            <sz val="9"/>
            <color indexed="81"/>
            <rFont val="Tahoma"/>
            <family val="2"/>
          </rPr>
          <t>&lt;[[DEVDeals] - [Proxy Entities (Seq: 4)] Deal Entity Role - Send]&gt;</t>
        </r>
      </text>
    </comment>
    <comment ref="I47" authorId="1" shapeId="0" xr:uid="{00000000-0006-0000-2100-000044000000}">
      <text>
        <r>
          <rPr>
            <b/>
            <sz val="9"/>
            <color indexed="81"/>
            <rFont val="Tahoma"/>
            <family val="2"/>
          </rPr>
          <t>&lt;[[DEVDeals] - [Proxy Entities (Seq: 4)] Name (Doing Business As) - Send]&gt;</t>
        </r>
      </text>
    </comment>
    <comment ref="J47" authorId="1" shapeId="0" xr:uid="{00000000-0006-0000-2100-000045000000}">
      <text>
        <r>
          <rPr>
            <b/>
            <sz val="9"/>
            <color indexed="81"/>
            <rFont val="Tahoma"/>
            <family val="2"/>
          </rPr>
          <t>&lt;[[DEVDeals] - [Proxy Entities (Seq: 4)] Company or Individual? - Send]&gt;</t>
        </r>
      </text>
    </comment>
    <comment ref="K47" authorId="1" shapeId="0" xr:uid="{00000000-0006-0000-2100-000046000000}">
      <text>
        <r>
          <rPr>
            <b/>
            <sz val="9"/>
            <color indexed="81"/>
            <rFont val="Tahoma"/>
            <family val="2"/>
          </rPr>
          <t>&lt;[[DEVDeals] - [Proxy Entities (Seq: 4)] Email Address 1 - Send]&gt;</t>
        </r>
      </text>
    </comment>
    <comment ref="L47" authorId="1" shapeId="0" xr:uid="{00000000-0006-0000-2100-000047000000}">
      <text>
        <r>
          <rPr>
            <b/>
            <sz val="9"/>
            <color indexed="81"/>
            <rFont val="Tahoma"/>
            <family val="2"/>
          </rPr>
          <t>&lt;[[DEVDeals] - [Proxy Entities (Seq: 4)] Direct Phone - Send]&gt;</t>
        </r>
      </text>
    </comment>
    <comment ref="O47" authorId="1" shapeId="0" xr:uid="{00000000-0006-0000-2100-000048000000}">
      <text>
        <r>
          <rPr>
            <b/>
            <sz val="9"/>
            <color indexed="81"/>
            <rFont val="Tahoma"/>
            <family val="2"/>
          </rPr>
          <t>&lt;[[DEVDeals] - [Associated TC Deal (Seq: 1)] - [Proxy Entities (Seq: 4)] Deal Entity Role - Send]&gt;</t>
        </r>
      </text>
    </comment>
    <comment ref="P47" authorId="1" shapeId="0" xr:uid="{00000000-0006-0000-2100-000049000000}">
      <text>
        <r>
          <rPr>
            <b/>
            <sz val="9"/>
            <color indexed="81"/>
            <rFont val="Tahoma"/>
            <family val="2"/>
          </rPr>
          <t>&lt;[[DEVDeals] - [Associated TC Deal (Seq: 1)] - [Proxy Entities (Seq: 4)] Name (Doing Business As) - Send]&gt;</t>
        </r>
      </text>
    </comment>
    <comment ref="Q47" authorId="1" shapeId="0" xr:uid="{00000000-0006-0000-2100-00004A000000}">
      <text>
        <r>
          <rPr>
            <b/>
            <sz val="9"/>
            <color indexed="81"/>
            <rFont val="Tahoma"/>
            <family val="2"/>
          </rPr>
          <t>&lt;[[DEVDeals] - [Associated TC Deal (Seq: 1)] - [Proxy Entities (Seq: 4)] Company or Individual? - Send]&gt;</t>
        </r>
      </text>
    </comment>
    <comment ref="R47" authorId="1" shapeId="0" xr:uid="{00000000-0006-0000-2100-00004B000000}">
      <text>
        <r>
          <rPr>
            <b/>
            <sz val="9"/>
            <color indexed="81"/>
            <rFont val="Tahoma"/>
            <family val="2"/>
          </rPr>
          <t>&lt;[[DEVDeals] - [Associated TC Deal (Seq: 1)] - [Proxy Entities (Seq: 4)] Email Address 1 - Send]&gt;</t>
        </r>
      </text>
    </comment>
    <comment ref="S47" authorId="1" shapeId="0" xr:uid="{00000000-0006-0000-2100-00004C000000}">
      <text>
        <r>
          <rPr>
            <b/>
            <sz val="9"/>
            <color indexed="81"/>
            <rFont val="Tahoma"/>
            <family val="2"/>
          </rPr>
          <t>&lt;[[DEVDeals] - [Associated TC Deal (Seq: 1)] - [Proxy Entities (Seq: 4)] Direct Phone - Send]&gt;</t>
        </r>
      </text>
    </comment>
    <comment ref="D48" authorId="1" shapeId="0" xr:uid="{00000000-0006-0000-2100-00004D000000}">
      <text>
        <r>
          <rPr>
            <b/>
            <sz val="9"/>
            <color indexed="81"/>
            <rFont val="Tahoma"/>
            <family val="2"/>
          </rPr>
          <t>&lt;[[DEVDeals] Developer Name - Send]&gt;</t>
        </r>
      </text>
    </comment>
    <comment ref="H48" authorId="1" shapeId="0" xr:uid="{00000000-0006-0000-2100-00004E000000}">
      <text>
        <r>
          <rPr>
            <b/>
            <sz val="9"/>
            <color indexed="81"/>
            <rFont val="Tahoma"/>
            <family val="2"/>
          </rPr>
          <t>&lt;[[DEVDeals] - [Proxy Entities (Seq: 5)] Deal Entity Role - Send]&gt;</t>
        </r>
      </text>
    </comment>
    <comment ref="I48" authorId="1" shapeId="0" xr:uid="{00000000-0006-0000-2100-00004F000000}">
      <text>
        <r>
          <rPr>
            <b/>
            <sz val="9"/>
            <color indexed="81"/>
            <rFont val="Tahoma"/>
            <family val="2"/>
          </rPr>
          <t>&lt;[[DEVDeals] - [Proxy Entities (Seq: 5)] Name (Doing Business As) - Send]&gt;</t>
        </r>
      </text>
    </comment>
    <comment ref="J48" authorId="1" shapeId="0" xr:uid="{00000000-0006-0000-2100-000050000000}">
      <text>
        <r>
          <rPr>
            <b/>
            <sz val="9"/>
            <color indexed="81"/>
            <rFont val="Tahoma"/>
            <family val="2"/>
          </rPr>
          <t>&lt;[[DEVDeals] - [Proxy Entities (Seq: 5)] Company or Individual? - Send]&gt;</t>
        </r>
      </text>
    </comment>
    <comment ref="K48" authorId="1" shapeId="0" xr:uid="{00000000-0006-0000-2100-000051000000}">
      <text>
        <r>
          <rPr>
            <b/>
            <sz val="9"/>
            <color indexed="81"/>
            <rFont val="Tahoma"/>
            <family val="2"/>
          </rPr>
          <t>&lt;[[DEVDeals] - [Proxy Entities (Seq: 5)] Email Address 1 - Send]&gt;</t>
        </r>
      </text>
    </comment>
    <comment ref="L48" authorId="1" shapeId="0" xr:uid="{00000000-0006-0000-2100-000052000000}">
      <text>
        <r>
          <rPr>
            <b/>
            <sz val="9"/>
            <color indexed="81"/>
            <rFont val="Tahoma"/>
            <family val="2"/>
          </rPr>
          <t>&lt;[[DEVDeals] - [Proxy Entities (Seq: 5)] Direct Phone - Send]&gt;</t>
        </r>
      </text>
    </comment>
    <comment ref="O48" authorId="1" shapeId="0" xr:uid="{00000000-0006-0000-2100-000053000000}">
      <text>
        <r>
          <rPr>
            <b/>
            <sz val="9"/>
            <color indexed="81"/>
            <rFont val="Tahoma"/>
            <family val="2"/>
          </rPr>
          <t>&lt;[[DEVDeals] - [Associated TC Deal (Seq: 1)] - [Proxy Entities (Seq: 5)] Deal Entity Role - Send]&gt;</t>
        </r>
      </text>
    </comment>
    <comment ref="P48" authorId="1" shapeId="0" xr:uid="{00000000-0006-0000-2100-000054000000}">
      <text>
        <r>
          <rPr>
            <b/>
            <sz val="9"/>
            <color indexed="81"/>
            <rFont val="Tahoma"/>
            <family val="2"/>
          </rPr>
          <t>&lt;[[DEVDeals] - [Associated TC Deal (Seq: 1)] - [Proxy Entities (Seq: 5)] Name (Doing Business As) - Send]&gt;</t>
        </r>
      </text>
    </comment>
    <comment ref="Q48" authorId="1" shapeId="0" xr:uid="{00000000-0006-0000-2100-000055000000}">
      <text>
        <r>
          <rPr>
            <b/>
            <sz val="9"/>
            <color indexed="81"/>
            <rFont val="Tahoma"/>
            <family val="2"/>
          </rPr>
          <t>&lt;[[DEVDeals] - [Associated TC Deal (Seq: 1)] - [Proxy Entities (Seq: 5)] Company or Individual? - Send]&gt;</t>
        </r>
      </text>
    </comment>
    <comment ref="R48" authorId="1" shapeId="0" xr:uid="{00000000-0006-0000-2100-000056000000}">
      <text>
        <r>
          <rPr>
            <b/>
            <sz val="9"/>
            <color indexed="81"/>
            <rFont val="Tahoma"/>
            <family val="2"/>
          </rPr>
          <t>&lt;[[DEVDeals] - [Associated TC Deal (Seq: 1)] - [Proxy Entities (Seq: 5)] Email Address 1 - Send]&gt;</t>
        </r>
      </text>
    </comment>
    <comment ref="S48" authorId="1" shapeId="0" xr:uid="{00000000-0006-0000-2100-000057000000}">
      <text>
        <r>
          <rPr>
            <b/>
            <sz val="9"/>
            <color indexed="81"/>
            <rFont val="Tahoma"/>
            <family val="2"/>
          </rPr>
          <t>&lt;[[DEVDeals] - [Associated TC Deal (Seq: 1)] - [Proxy Entities (Seq: 5)] Direct Phone - Send]&gt;</t>
        </r>
      </text>
    </comment>
    <comment ref="H49" authorId="1" shapeId="0" xr:uid="{00000000-0006-0000-2100-000058000000}">
      <text>
        <r>
          <rPr>
            <b/>
            <sz val="9"/>
            <color indexed="81"/>
            <rFont val="Tahoma"/>
            <family val="2"/>
          </rPr>
          <t>&lt;[[DEVDeals] - [Proxy Entities (Seq: 6)] Deal Entity Role - Send]&gt;</t>
        </r>
      </text>
    </comment>
    <comment ref="I49" authorId="1" shapeId="0" xr:uid="{00000000-0006-0000-2100-000059000000}">
      <text>
        <r>
          <rPr>
            <b/>
            <sz val="9"/>
            <color indexed="81"/>
            <rFont val="Tahoma"/>
            <family val="2"/>
          </rPr>
          <t>&lt;[[DEVDeals] - [Proxy Entities (Seq: 6)] Name (Doing Business As) - Send]&gt;</t>
        </r>
      </text>
    </comment>
    <comment ref="J49" authorId="1" shapeId="0" xr:uid="{00000000-0006-0000-2100-00005A000000}">
      <text>
        <r>
          <rPr>
            <b/>
            <sz val="9"/>
            <color indexed="81"/>
            <rFont val="Tahoma"/>
            <family val="2"/>
          </rPr>
          <t>&lt;[[DEVDeals] - [Proxy Entities (Seq: 6)] Company or Individual? - Send]&gt;</t>
        </r>
      </text>
    </comment>
    <comment ref="K49" authorId="1" shapeId="0" xr:uid="{00000000-0006-0000-2100-00005B000000}">
      <text>
        <r>
          <rPr>
            <b/>
            <sz val="9"/>
            <color indexed="81"/>
            <rFont val="Tahoma"/>
            <family val="2"/>
          </rPr>
          <t>&lt;[[DEVDeals] - [Proxy Entities (Seq: 6)] Email Address 1 - Send]&gt;</t>
        </r>
      </text>
    </comment>
    <comment ref="L49" authorId="1" shapeId="0" xr:uid="{00000000-0006-0000-2100-00005C000000}">
      <text>
        <r>
          <rPr>
            <b/>
            <sz val="9"/>
            <color indexed="81"/>
            <rFont val="Tahoma"/>
            <family val="2"/>
          </rPr>
          <t>&lt;[[DEVDeals] - [Proxy Entities (Seq: 6)] Direct Phone - Send]&gt;</t>
        </r>
      </text>
    </comment>
    <comment ref="O49" authorId="1" shapeId="0" xr:uid="{00000000-0006-0000-2100-00005D000000}">
      <text>
        <r>
          <rPr>
            <b/>
            <sz val="9"/>
            <color indexed="81"/>
            <rFont val="Tahoma"/>
            <family val="2"/>
          </rPr>
          <t>&lt;[[DEVDeals] - [Associated TC Deal (Seq: 1)] - [Proxy Entities (Seq: 6)] Deal Entity Role - Send]&gt;</t>
        </r>
      </text>
    </comment>
    <comment ref="P49" authorId="1" shapeId="0" xr:uid="{00000000-0006-0000-2100-00005E000000}">
      <text>
        <r>
          <rPr>
            <b/>
            <sz val="9"/>
            <color indexed="81"/>
            <rFont val="Tahoma"/>
            <family val="2"/>
          </rPr>
          <t>&lt;[[DEVDeals] - [Associated TC Deal (Seq: 1)] - [Proxy Entities (Seq: 6)] Name (Doing Business As) - Send]&gt;</t>
        </r>
      </text>
    </comment>
    <comment ref="Q49" authorId="1" shapeId="0" xr:uid="{00000000-0006-0000-2100-00005F000000}">
      <text>
        <r>
          <rPr>
            <b/>
            <sz val="9"/>
            <color indexed="81"/>
            <rFont val="Tahoma"/>
            <family val="2"/>
          </rPr>
          <t>&lt;[[DEVDeals] - [Associated TC Deal (Seq: 1)] - [Proxy Entities (Seq: 6)] Company or Individual? - Send]&gt;</t>
        </r>
      </text>
    </comment>
    <comment ref="R49" authorId="1" shapeId="0" xr:uid="{00000000-0006-0000-2100-000060000000}">
      <text>
        <r>
          <rPr>
            <b/>
            <sz val="9"/>
            <color indexed="81"/>
            <rFont val="Tahoma"/>
            <family val="2"/>
          </rPr>
          <t>&lt;[[DEVDeals] - [Associated TC Deal (Seq: 1)] - [Proxy Entities (Seq: 6)] Email Address 1 - Send]&gt;</t>
        </r>
      </text>
    </comment>
    <comment ref="S49" authorId="1" shapeId="0" xr:uid="{00000000-0006-0000-2100-000061000000}">
      <text>
        <r>
          <rPr>
            <b/>
            <sz val="9"/>
            <color indexed="81"/>
            <rFont val="Tahoma"/>
            <family val="2"/>
          </rPr>
          <t>&lt;[[DEVDeals] - [Associated TC Deal (Seq: 1)] - [Proxy Entities (Seq: 6)] Direct Phone - Send]&gt;</t>
        </r>
      </text>
    </comment>
    <comment ref="H50" authorId="1" shapeId="0" xr:uid="{00000000-0006-0000-2100-000062000000}">
      <text>
        <r>
          <rPr>
            <b/>
            <sz val="9"/>
            <color indexed="81"/>
            <rFont val="Tahoma"/>
            <family val="2"/>
          </rPr>
          <t>&lt;[[DEVDeals] - [Proxy Entities (Seq: 7)] Deal Entity Role - Send]&gt;</t>
        </r>
      </text>
    </comment>
    <comment ref="I50" authorId="1" shapeId="0" xr:uid="{00000000-0006-0000-2100-000063000000}">
      <text>
        <r>
          <rPr>
            <b/>
            <sz val="9"/>
            <color indexed="81"/>
            <rFont val="Tahoma"/>
            <family val="2"/>
          </rPr>
          <t>&lt;[[DEVDeals] - [Proxy Entities (Seq: 7)] Name (Doing Business As) - Send]&gt;</t>
        </r>
      </text>
    </comment>
    <comment ref="J50" authorId="1" shapeId="0" xr:uid="{00000000-0006-0000-2100-000064000000}">
      <text>
        <r>
          <rPr>
            <b/>
            <sz val="9"/>
            <color indexed="81"/>
            <rFont val="Tahoma"/>
            <family val="2"/>
          </rPr>
          <t>&lt;[[DEVDeals] - [Proxy Entities (Seq: 7)] Company or Individual? - Send]&gt;</t>
        </r>
      </text>
    </comment>
    <comment ref="K50" authorId="1" shapeId="0" xr:uid="{00000000-0006-0000-2100-000065000000}">
      <text>
        <r>
          <rPr>
            <b/>
            <sz val="9"/>
            <color indexed="81"/>
            <rFont val="Tahoma"/>
            <family val="2"/>
          </rPr>
          <t>&lt;[[DEVDeals] - [Proxy Entities (Seq: 7)] Email Address 1 - Send]&gt;</t>
        </r>
      </text>
    </comment>
    <comment ref="L50" authorId="1" shapeId="0" xr:uid="{00000000-0006-0000-2100-000066000000}">
      <text>
        <r>
          <rPr>
            <b/>
            <sz val="9"/>
            <color indexed="81"/>
            <rFont val="Tahoma"/>
            <family val="2"/>
          </rPr>
          <t>&lt;[[DEVDeals] - [Proxy Entities (Seq: 7)] Direct Phone - Send]&gt;</t>
        </r>
      </text>
    </comment>
    <comment ref="O50" authorId="1" shapeId="0" xr:uid="{00000000-0006-0000-2100-000067000000}">
      <text>
        <r>
          <rPr>
            <b/>
            <sz val="9"/>
            <color indexed="81"/>
            <rFont val="Tahoma"/>
            <family val="2"/>
          </rPr>
          <t>&lt;[[DEVDeals] - [Associated TC Deal (Seq: 1)] - [Proxy Entities (Seq: 7)] Deal Entity Role - Send]&gt;</t>
        </r>
      </text>
    </comment>
    <comment ref="P50" authorId="1" shapeId="0" xr:uid="{00000000-0006-0000-2100-000068000000}">
      <text>
        <r>
          <rPr>
            <b/>
            <sz val="9"/>
            <color indexed="81"/>
            <rFont val="Tahoma"/>
            <family val="2"/>
          </rPr>
          <t>&lt;[[DEVDeals] - [Associated TC Deal (Seq: 1)] - [Proxy Entities (Seq: 7)] Name (Doing Business As) - Send]&gt;</t>
        </r>
      </text>
    </comment>
    <comment ref="Q50" authorId="1" shapeId="0" xr:uid="{00000000-0006-0000-2100-000069000000}">
      <text>
        <r>
          <rPr>
            <b/>
            <sz val="9"/>
            <color indexed="81"/>
            <rFont val="Tahoma"/>
            <family val="2"/>
          </rPr>
          <t>&lt;[[DEVDeals] - [Associated TC Deal (Seq: 1)] - [Proxy Entities (Seq: 7)] Company or Individual? - Send]&gt;</t>
        </r>
      </text>
    </comment>
    <comment ref="R50" authorId="1" shapeId="0" xr:uid="{00000000-0006-0000-2100-00006A000000}">
      <text>
        <r>
          <rPr>
            <b/>
            <sz val="9"/>
            <color indexed="81"/>
            <rFont val="Tahoma"/>
            <family val="2"/>
          </rPr>
          <t>&lt;[[DEVDeals] - [Associated TC Deal (Seq: 1)] - [Proxy Entities (Seq: 7)] Email Address 1 - Send]&gt;</t>
        </r>
      </text>
    </comment>
    <comment ref="S50" authorId="1" shapeId="0" xr:uid="{00000000-0006-0000-2100-00006B000000}">
      <text>
        <r>
          <rPr>
            <b/>
            <sz val="9"/>
            <color indexed="81"/>
            <rFont val="Tahoma"/>
            <family val="2"/>
          </rPr>
          <t>&lt;[[DEVDeals] - [Associated TC Deal (Seq: 1)] - [Proxy Entities (Seq: 7)] Direct Phone - Send]&gt;</t>
        </r>
      </text>
    </comment>
    <comment ref="D51" authorId="1" shapeId="0" xr:uid="{00000000-0006-0000-2100-00006C000000}">
      <text>
        <r>
          <rPr>
            <b/>
            <sz val="9"/>
            <color indexed="81"/>
            <rFont val="Tahoma"/>
            <family val="2"/>
          </rPr>
          <t>&lt;[[DEVDeals] Architect Name - Send]&gt;</t>
        </r>
      </text>
    </comment>
    <comment ref="H51" authorId="1" shapeId="0" xr:uid="{00000000-0006-0000-2100-00006D000000}">
      <text>
        <r>
          <rPr>
            <b/>
            <sz val="9"/>
            <color indexed="81"/>
            <rFont val="Tahoma"/>
            <family val="2"/>
          </rPr>
          <t>&lt;[[DEVDeals] - [Proxy Entities (Seq: 8)] Deal Entity Role - Send]&gt;</t>
        </r>
      </text>
    </comment>
    <comment ref="I51" authorId="1" shapeId="0" xr:uid="{00000000-0006-0000-2100-00006E000000}">
      <text>
        <r>
          <rPr>
            <b/>
            <sz val="9"/>
            <color indexed="81"/>
            <rFont val="Tahoma"/>
            <family val="2"/>
          </rPr>
          <t>&lt;[[DEVDeals] - [Proxy Entities (Seq: 8)] Name (Doing Business As) - Send]&gt;</t>
        </r>
      </text>
    </comment>
    <comment ref="J51" authorId="1" shapeId="0" xr:uid="{00000000-0006-0000-2100-00006F000000}">
      <text>
        <r>
          <rPr>
            <b/>
            <sz val="9"/>
            <color indexed="81"/>
            <rFont val="Tahoma"/>
            <family val="2"/>
          </rPr>
          <t>&lt;[[DEVDeals] - [Proxy Entities (Seq: 8)] Company or Individual? - Send]&gt;</t>
        </r>
      </text>
    </comment>
    <comment ref="K51" authorId="1" shapeId="0" xr:uid="{00000000-0006-0000-2100-000070000000}">
      <text>
        <r>
          <rPr>
            <b/>
            <sz val="9"/>
            <color indexed="81"/>
            <rFont val="Tahoma"/>
            <family val="2"/>
          </rPr>
          <t>&lt;[[DEVDeals] - [Proxy Entities (Seq: 8)] Email Address 1 - Send]&gt;</t>
        </r>
      </text>
    </comment>
    <comment ref="L51" authorId="1" shapeId="0" xr:uid="{00000000-0006-0000-2100-000071000000}">
      <text>
        <r>
          <rPr>
            <b/>
            <sz val="9"/>
            <color indexed="81"/>
            <rFont val="Tahoma"/>
            <family val="2"/>
          </rPr>
          <t>&lt;[[DEVDeals] - [Proxy Entities (Seq: 8)] Direct Phone - Send]&gt;</t>
        </r>
      </text>
    </comment>
    <comment ref="O51" authorId="1" shapeId="0" xr:uid="{00000000-0006-0000-2100-000072000000}">
      <text>
        <r>
          <rPr>
            <b/>
            <sz val="9"/>
            <color indexed="81"/>
            <rFont val="Tahoma"/>
            <family val="2"/>
          </rPr>
          <t>&lt;[[DEVDeals] - [Associated TC Deal (Seq: 1)] - [Proxy Entities (Seq: 8)] Deal Entity Role - Send]&gt;</t>
        </r>
      </text>
    </comment>
    <comment ref="P51" authorId="1" shapeId="0" xr:uid="{00000000-0006-0000-2100-000073000000}">
      <text>
        <r>
          <rPr>
            <b/>
            <sz val="9"/>
            <color indexed="81"/>
            <rFont val="Tahoma"/>
            <family val="2"/>
          </rPr>
          <t>&lt;[[DEVDeals] - [Associated TC Deal (Seq: 1)] - [Proxy Entities (Seq: 8)] Name (Doing Business As) - Send]&gt;</t>
        </r>
      </text>
    </comment>
    <comment ref="Q51" authorId="1" shapeId="0" xr:uid="{00000000-0006-0000-2100-000074000000}">
      <text>
        <r>
          <rPr>
            <b/>
            <sz val="9"/>
            <color indexed="81"/>
            <rFont val="Tahoma"/>
            <family val="2"/>
          </rPr>
          <t>&lt;[[DEVDeals] - [Associated TC Deal (Seq: 1)] - [Proxy Entities (Seq: 8)] Company or Individual? - Send]&gt;</t>
        </r>
      </text>
    </comment>
    <comment ref="R51" authorId="1" shapeId="0" xr:uid="{00000000-0006-0000-2100-000075000000}">
      <text>
        <r>
          <rPr>
            <b/>
            <sz val="9"/>
            <color indexed="81"/>
            <rFont val="Tahoma"/>
            <family val="2"/>
          </rPr>
          <t>&lt;[[DEVDeals] - [Associated TC Deal (Seq: 1)] - [Proxy Entities (Seq: 8)] Email Address 1 - Send]&gt;</t>
        </r>
      </text>
    </comment>
    <comment ref="S51" authorId="1" shapeId="0" xr:uid="{00000000-0006-0000-2100-000076000000}">
      <text>
        <r>
          <rPr>
            <b/>
            <sz val="9"/>
            <color indexed="81"/>
            <rFont val="Tahoma"/>
            <family val="2"/>
          </rPr>
          <t>&lt;[[DEVDeals] - [Associated TC Deal (Seq: 1)] - [Proxy Entities (Seq: 8)] Direct Phone - Send]&gt;</t>
        </r>
      </text>
    </comment>
    <comment ref="H52" authorId="1" shapeId="0" xr:uid="{00000000-0006-0000-2100-000077000000}">
      <text>
        <r>
          <rPr>
            <b/>
            <sz val="9"/>
            <color indexed="81"/>
            <rFont val="Tahoma"/>
            <family val="2"/>
          </rPr>
          <t>&lt;[[DEVDeals] - [Proxy Entities (Seq: 9)] Deal Entity Role - Send]&gt;</t>
        </r>
      </text>
    </comment>
    <comment ref="I52" authorId="1" shapeId="0" xr:uid="{00000000-0006-0000-2100-000078000000}">
      <text>
        <r>
          <rPr>
            <b/>
            <sz val="9"/>
            <color indexed="81"/>
            <rFont val="Tahoma"/>
            <family val="2"/>
          </rPr>
          <t>&lt;[[DEVDeals] - [Proxy Entities (Seq: 9)] Name (Doing Business As) - Send]&gt;</t>
        </r>
      </text>
    </comment>
    <comment ref="J52" authorId="1" shapeId="0" xr:uid="{00000000-0006-0000-2100-000079000000}">
      <text>
        <r>
          <rPr>
            <b/>
            <sz val="9"/>
            <color indexed="81"/>
            <rFont val="Tahoma"/>
            <family val="2"/>
          </rPr>
          <t>&lt;[[DEVDeals] - [Proxy Entities (Seq: 9)] Company or Individual? - Send]&gt;</t>
        </r>
      </text>
    </comment>
    <comment ref="K52" authorId="1" shapeId="0" xr:uid="{00000000-0006-0000-2100-00007A000000}">
      <text>
        <r>
          <rPr>
            <b/>
            <sz val="9"/>
            <color indexed="81"/>
            <rFont val="Tahoma"/>
            <family val="2"/>
          </rPr>
          <t>&lt;[[DEVDeals] - [Proxy Entities (Seq: 9)] Email Address 1 - Send]&gt;</t>
        </r>
      </text>
    </comment>
    <comment ref="L52" authorId="1" shapeId="0" xr:uid="{00000000-0006-0000-2100-00007B000000}">
      <text>
        <r>
          <rPr>
            <b/>
            <sz val="9"/>
            <color indexed="81"/>
            <rFont val="Tahoma"/>
            <family val="2"/>
          </rPr>
          <t>&lt;[[DEVDeals] - [Proxy Entities (Seq: 9)] Direct Phone - Send]&gt;</t>
        </r>
      </text>
    </comment>
    <comment ref="O52" authorId="1" shapeId="0" xr:uid="{00000000-0006-0000-2100-00007C000000}">
      <text>
        <r>
          <rPr>
            <b/>
            <sz val="9"/>
            <color indexed="81"/>
            <rFont val="Tahoma"/>
            <family val="2"/>
          </rPr>
          <t>&lt;[[DEVDeals] - [Associated TC Deal (Seq: 1)] - [Proxy Entities (Seq: 9)] Deal Entity Role - Send]&gt;</t>
        </r>
      </text>
    </comment>
    <comment ref="P52" authorId="1" shapeId="0" xr:uid="{00000000-0006-0000-2100-00007D000000}">
      <text>
        <r>
          <rPr>
            <b/>
            <sz val="9"/>
            <color indexed="81"/>
            <rFont val="Tahoma"/>
            <family val="2"/>
          </rPr>
          <t>&lt;[[DEVDeals] - [Associated TC Deal (Seq: 1)] - [Proxy Entities (Seq: 9)] Name (Doing Business As) - Send]&gt;</t>
        </r>
      </text>
    </comment>
    <comment ref="Q52" authorId="1" shapeId="0" xr:uid="{00000000-0006-0000-2100-00007E000000}">
      <text>
        <r>
          <rPr>
            <b/>
            <sz val="9"/>
            <color indexed="81"/>
            <rFont val="Tahoma"/>
            <family val="2"/>
          </rPr>
          <t>&lt;[[DEVDeals] - [Associated TC Deal (Seq: 1)] - [Proxy Entities (Seq: 9)] Company or Individual? - Send]&gt;</t>
        </r>
      </text>
    </comment>
    <comment ref="R52" authorId="1" shapeId="0" xr:uid="{00000000-0006-0000-2100-00007F000000}">
      <text>
        <r>
          <rPr>
            <b/>
            <sz val="9"/>
            <color indexed="81"/>
            <rFont val="Tahoma"/>
            <family val="2"/>
          </rPr>
          <t>&lt;[[DEVDeals] - [Associated TC Deal (Seq: 1)] - [Proxy Entities (Seq: 9)] Email Address 1 - Send]&gt;</t>
        </r>
      </text>
    </comment>
    <comment ref="S52" authorId="1" shapeId="0" xr:uid="{00000000-0006-0000-2100-000080000000}">
      <text>
        <r>
          <rPr>
            <b/>
            <sz val="9"/>
            <color indexed="81"/>
            <rFont val="Tahoma"/>
            <family val="2"/>
          </rPr>
          <t>&lt;[[DEVDeals] - [Associated TC Deal (Seq: 1)] - [Proxy Entities (Seq: 9)] Direct Phone - Send]&gt;</t>
        </r>
      </text>
    </comment>
    <comment ref="H53" authorId="1" shapeId="0" xr:uid="{00000000-0006-0000-2100-000081000000}">
      <text>
        <r>
          <rPr>
            <b/>
            <sz val="9"/>
            <color indexed="81"/>
            <rFont val="Tahoma"/>
            <family val="2"/>
          </rPr>
          <t>&lt;[[DEVDeals] - [Proxy Entities (Seq: 10)] Deal Entity Role - Send]&gt;</t>
        </r>
      </text>
    </comment>
    <comment ref="I53" authorId="1" shapeId="0" xr:uid="{00000000-0006-0000-2100-000082000000}">
      <text>
        <r>
          <rPr>
            <b/>
            <sz val="9"/>
            <color indexed="81"/>
            <rFont val="Tahoma"/>
            <family val="2"/>
          </rPr>
          <t>&lt;[[DEVDeals] - [Proxy Entities (Seq: 10)] Name (Doing Business As) - Send]&gt;</t>
        </r>
      </text>
    </comment>
    <comment ref="J53" authorId="1" shapeId="0" xr:uid="{00000000-0006-0000-2100-000083000000}">
      <text>
        <r>
          <rPr>
            <b/>
            <sz val="9"/>
            <color indexed="81"/>
            <rFont val="Tahoma"/>
            <family val="2"/>
          </rPr>
          <t>&lt;[[DEVDeals] - [Proxy Entities (Seq: 10)] Company or Individual? - Send]&gt;</t>
        </r>
      </text>
    </comment>
    <comment ref="K53" authorId="1" shapeId="0" xr:uid="{00000000-0006-0000-2100-000084000000}">
      <text>
        <r>
          <rPr>
            <b/>
            <sz val="9"/>
            <color indexed="81"/>
            <rFont val="Tahoma"/>
            <family val="2"/>
          </rPr>
          <t>&lt;[[DEVDeals] - [Proxy Entities (Seq: 10)] Email Address 1 - Send]&gt;</t>
        </r>
      </text>
    </comment>
    <comment ref="L53" authorId="1" shapeId="0" xr:uid="{00000000-0006-0000-2100-000085000000}">
      <text>
        <r>
          <rPr>
            <b/>
            <sz val="9"/>
            <color indexed="81"/>
            <rFont val="Tahoma"/>
            <family val="2"/>
          </rPr>
          <t>&lt;[[DEVDeals] - [Proxy Entities (Seq: 10)] Direct Phone - Send]&gt;</t>
        </r>
      </text>
    </comment>
    <comment ref="O53" authorId="1" shapeId="0" xr:uid="{00000000-0006-0000-2100-000086000000}">
      <text>
        <r>
          <rPr>
            <b/>
            <sz val="9"/>
            <color indexed="81"/>
            <rFont val="Tahoma"/>
            <family val="2"/>
          </rPr>
          <t>&lt;[[DEVDeals] - [Associated TC Deal (Seq: 1)] - [Proxy Entities (Seq: 10)] Deal Entity Role - Send]&gt;</t>
        </r>
      </text>
    </comment>
    <comment ref="P53" authorId="1" shapeId="0" xr:uid="{00000000-0006-0000-2100-000087000000}">
      <text>
        <r>
          <rPr>
            <b/>
            <sz val="9"/>
            <color indexed="81"/>
            <rFont val="Tahoma"/>
            <family val="2"/>
          </rPr>
          <t>&lt;[[DEVDeals] - [Associated TC Deal (Seq: 1)] - [Proxy Entities (Seq: 10)] Name (Doing Business As) - Send]&gt;</t>
        </r>
      </text>
    </comment>
    <comment ref="Q53" authorId="1" shapeId="0" xr:uid="{00000000-0006-0000-2100-000088000000}">
      <text>
        <r>
          <rPr>
            <b/>
            <sz val="9"/>
            <color indexed="81"/>
            <rFont val="Tahoma"/>
            <family val="2"/>
          </rPr>
          <t>&lt;[[DEVDeals] - [Associated TC Deal (Seq: 1)] - [Proxy Entities (Seq: 10)] Company or Individual? - Send]&gt;</t>
        </r>
      </text>
    </comment>
    <comment ref="R53" authorId="1" shapeId="0" xr:uid="{00000000-0006-0000-2100-000089000000}">
      <text>
        <r>
          <rPr>
            <b/>
            <sz val="9"/>
            <color indexed="81"/>
            <rFont val="Tahoma"/>
            <family val="2"/>
          </rPr>
          <t>&lt;[[DEVDeals] - [Associated TC Deal (Seq: 1)] - [Proxy Entities (Seq: 10)] Email Address 1 - Send]&gt;</t>
        </r>
      </text>
    </comment>
    <comment ref="S53" authorId="1" shapeId="0" xr:uid="{00000000-0006-0000-2100-00008A000000}">
      <text>
        <r>
          <rPr>
            <b/>
            <sz val="9"/>
            <color indexed="81"/>
            <rFont val="Tahoma"/>
            <family val="2"/>
          </rPr>
          <t>&lt;[[DEVDeals] - [Associated TC Deal (Seq: 1)] - [Proxy Entities (Seq: 10)] Direct Phone - Send]&gt;</t>
        </r>
      </text>
    </comment>
    <comment ref="H54" authorId="0" shapeId="0" xr:uid="{00000000-0006-0000-2100-00008B000000}">
      <text>
        <r>
          <rPr>
            <b/>
            <sz val="9"/>
            <color indexed="81"/>
            <rFont val="Tahoma"/>
            <family val="2"/>
          </rPr>
          <t>&lt;[[DEVDeals] - [Proxy Entities (Seq: 11)] Deal Entity Role - Send]&gt;</t>
        </r>
      </text>
    </comment>
    <comment ref="I54" authorId="0" shapeId="0" xr:uid="{00000000-0006-0000-2100-00008C000000}">
      <text>
        <r>
          <rPr>
            <b/>
            <sz val="9"/>
            <color indexed="81"/>
            <rFont val="Tahoma"/>
            <family val="2"/>
          </rPr>
          <t>&lt;[[DEVDeals] - [Proxy Entities (Seq: 11)] Name (Doing Business As) - Send]&gt;</t>
        </r>
      </text>
    </comment>
    <comment ref="J54" authorId="0" shapeId="0" xr:uid="{00000000-0006-0000-2100-00008D000000}">
      <text>
        <r>
          <rPr>
            <b/>
            <sz val="9"/>
            <color indexed="81"/>
            <rFont val="Tahoma"/>
            <family val="2"/>
          </rPr>
          <t>&lt;[[DEVDeals] - [Proxy Entities (Seq: 11)] Company or Individual? - Send]&gt;</t>
        </r>
      </text>
    </comment>
    <comment ref="K54" authorId="0" shapeId="0" xr:uid="{00000000-0006-0000-2100-00008E000000}">
      <text>
        <r>
          <rPr>
            <b/>
            <sz val="9"/>
            <color indexed="81"/>
            <rFont val="Tahoma"/>
            <family val="2"/>
          </rPr>
          <t>&lt;[[DEVDeals] - [Proxy Entities (Seq: 11)] Email Address 1 - Send]&gt;</t>
        </r>
      </text>
    </comment>
    <comment ref="L54" authorId="0" shapeId="0" xr:uid="{00000000-0006-0000-2100-00008F000000}">
      <text>
        <r>
          <rPr>
            <b/>
            <sz val="9"/>
            <color indexed="81"/>
            <rFont val="Tahoma"/>
            <family val="2"/>
          </rPr>
          <t>&lt;[[DEVDeals] - [Proxy Entities (Seq: 11)] Direct Phone - Send]&gt;</t>
        </r>
      </text>
    </comment>
    <comment ref="O54" authorId="0" shapeId="0" xr:uid="{00000000-0006-0000-2100-000090000000}">
      <text>
        <r>
          <rPr>
            <b/>
            <sz val="9"/>
            <color indexed="81"/>
            <rFont val="Tahoma"/>
            <family val="2"/>
          </rPr>
          <t>&lt;[[DEVDeals] - [Associated TC Deal (Seq: 1)] - [Proxy Entities (Seq: 11)] Deal Entity Role - Send]&gt;</t>
        </r>
      </text>
    </comment>
    <comment ref="P54" authorId="0" shapeId="0" xr:uid="{00000000-0006-0000-2100-000091000000}">
      <text>
        <r>
          <rPr>
            <b/>
            <sz val="9"/>
            <color indexed="81"/>
            <rFont val="Tahoma"/>
            <family val="2"/>
          </rPr>
          <t>&lt;[[DEVDeals] - [Associated TC Deal (Seq: 1)] - [Proxy Entities (Seq: 11)] Name (Doing Business As) - Send]&gt;</t>
        </r>
      </text>
    </comment>
    <comment ref="Q54" authorId="0" shapeId="0" xr:uid="{00000000-0006-0000-2100-000092000000}">
      <text>
        <r>
          <rPr>
            <b/>
            <sz val="9"/>
            <color indexed="81"/>
            <rFont val="Tahoma"/>
            <family val="2"/>
          </rPr>
          <t>&lt;[[DEVDeals] - [Associated TC Deal (Seq: 1)] - [Proxy Entities (Seq: 11)] Company or Individual? - Send]&gt;</t>
        </r>
      </text>
    </comment>
    <comment ref="R54" authorId="0" shapeId="0" xr:uid="{00000000-0006-0000-2100-000093000000}">
      <text>
        <r>
          <rPr>
            <b/>
            <sz val="9"/>
            <color indexed="81"/>
            <rFont val="Tahoma"/>
            <family val="2"/>
          </rPr>
          <t>&lt;[[DEVDeals] - [Associated TC Deal (Seq: 1)] - [Proxy Entities (Seq: 11)] Email Address 1 - Send]&gt;</t>
        </r>
      </text>
    </comment>
    <comment ref="S54" authorId="0" shapeId="0" xr:uid="{00000000-0006-0000-2100-000094000000}">
      <text>
        <r>
          <rPr>
            <b/>
            <sz val="9"/>
            <color indexed="81"/>
            <rFont val="Tahoma"/>
            <family val="2"/>
          </rPr>
          <t>&lt;[[DEVDeals] - [Associated TC Deal (Seq: 1)] - [Proxy Entities (Seq: 11)] Direct Phone - Send]&gt;</t>
        </r>
      </text>
    </comment>
    <comment ref="H82" authorId="1" shapeId="0" xr:uid="{00000000-0006-0000-2100-000095000000}">
      <text>
        <r>
          <rPr>
            <b/>
            <sz val="9"/>
            <color indexed="81"/>
            <rFont val="Tahoma"/>
            <family val="2"/>
          </rPr>
          <t>&lt;[[DEVDeals] - [Budget Initial (Seq: 1)] HC Site Improvements - Send]&gt;</t>
        </r>
      </text>
    </comment>
    <comment ref="H83" authorId="1" shapeId="0" xr:uid="{00000000-0006-0000-2100-000096000000}">
      <text>
        <r>
          <rPr>
            <b/>
            <sz val="9"/>
            <color indexed="81"/>
            <rFont val="Tahoma"/>
            <family val="2"/>
          </rPr>
          <t>&lt;[[DEVDeals] - [Budget Initial (Seq: 1)] HC Structures - Send]&gt;</t>
        </r>
      </text>
    </comment>
    <comment ref="H84" authorId="1" shapeId="0" xr:uid="{00000000-0006-0000-2100-000097000000}">
      <text>
        <r>
          <rPr>
            <b/>
            <sz val="9"/>
            <color indexed="81"/>
            <rFont val="Tahoma"/>
            <family val="2"/>
          </rPr>
          <t>&lt;[[DEVDeals] - [Budget Initial (Seq: 1)] HC General Req - Send]&gt;</t>
        </r>
      </text>
    </comment>
    <comment ref="H85" authorId="1" shapeId="0" xr:uid="{00000000-0006-0000-2100-000098000000}">
      <text>
        <r>
          <rPr>
            <b/>
            <sz val="9"/>
            <color indexed="81"/>
            <rFont val="Tahoma"/>
            <family val="2"/>
          </rPr>
          <t>&lt;[[DEVDeals] - [Budget Initial (Seq: 1)] HC Profit - Send]&gt;</t>
        </r>
      </text>
    </comment>
    <comment ref="H86" authorId="1" shapeId="0" xr:uid="{00000000-0006-0000-2100-000099000000}">
      <text>
        <r>
          <rPr>
            <b/>
            <sz val="9"/>
            <color indexed="81"/>
            <rFont val="Tahoma"/>
            <family val="2"/>
          </rPr>
          <t>&lt;[[DEVDeals] - [Budget Initial (Seq: 1)] HC Bonds - Send]&gt;</t>
        </r>
      </text>
    </comment>
    <comment ref="H87" authorId="1" shapeId="0" xr:uid="{00000000-0006-0000-2100-00009A000000}">
      <text>
        <r>
          <rPr>
            <b/>
            <sz val="9"/>
            <color indexed="81"/>
            <rFont val="Tahoma"/>
            <family val="2"/>
          </rPr>
          <t>&lt;[[DEVDeals] - [Budget Initial (Seq: 1)] HC - Contingency - Send]&gt;</t>
        </r>
      </text>
    </comment>
    <comment ref="H89" authorId="1" shapeId="0" xr:uid="{00000000-0006-0000-2100-00009B000000}">
      <text>
        <r>
          <rPr>
            <b/>
            <sz val="9"/>
            <color indexed="81"/>
            <rFont val="Tahoma"/>
            <family val="2"/>
          </rPr>
          <t>&lt;[[DEVDeals] - [Budget Initial (Seq: 1)] SC Building Permits - Send]&gt;</t>
        </r>
      </text>
    </comment>
    <comment ref="H90" authorId="1" shapeId="0" xr:uid="{00000000-0006-0000-2100-00009C000000}">
      <text>
        <r>
          <rPr>
            <b/>
            <sz val="9"/>
            <color indexed="81"/>
            <rFont val="Tahoma"/>
            <family val="2"/>
          </rPr>
          <t>&lt;[[DEVDeals] - [Budget Initial (Seq: 1)] SC Site Eng Survey - Send]&gt;</t>
        </r>
      </text>
    </comment>
    <comment ref="H91" authorId="1" shapeId="0" xr:uid="{00000000-0006-0000-2100-00009D000000}">
      <text>
        <r>
          <rPr>
            <b/>
            <sz val="9"/>
            <color indexed="81"/>
            <rFont val="Tahoma"/>
            <family val="2"/>
          </rPr>
          <t>&lt;[[DEVDeals] - [Budget Initial (Seq: 1)] SC Design Architect - Send]&gt;</t>
        </r>
      </text>
    </comment>
    <comment ref="H92" authorId="1" shapeId="0" xr:uid="{00000000-0006-0000-2100-00009E000000}">
      <text>
        <r>
          <rPr>
            <b/>
            <sz val="9"/>
            <color indexed="81"/>
            <rFont val="Tahoma"/>
            <family val="2"/>
          </rPr>
          <t>&lt;[[DEVDeals] - [Budget Initial (Seq: 1)] SC Legal - Send]&gt;</t>
        </r>
      </text>
    </comment>
    <comment ref="H93" authorId="1" shapeId="0" xr:uid="{00000000-0006-0000-2100-00009F000000}">
      <text>
        <r>
          <rPr>
            <b/>
            <sz val="9"/>
            <color indexed="81"/>
            <rFont val="Tahoma"/>
            <family val="2"/>
          </rPr>
          <t>&lt;[[DEVDeals] - [Budget Initial (Seq: 1)] SC Title Recording - Send]&gt;</t>
        </r>
      </text>
    </comment>
    <comment ref="H94" authorId="1" shapeId="0" xr:uid="{00000000-0006-0000-2100-0000A0000000}">
      <text>
        <r>
          <rPr>
            <b/>
            <sz val="9"/>
            <color indexed="81"/>
            <rFont val="Tahoma"/>
            <family val="2"/>
          </rPr>
          <t>&lt;[[DEVDeals] - [Budget Initial (Seq: 1)] SC Accounting - Send]&gt;</t>
        </r>
      </text>
    </comment>
    <comment ref="H95" authorId="1" shapeId="0" xr:uid="{00000000-0006-0000-2100-0000A1000000}">
      <text>
        <r>
          <rPr>
            <b/>
            <sz val="9"/>
            <color indexed="81"/>
            <rFont val="Tahoma"/>
            <family val="2"/>
          </rPr>
          <t>&lt;[[DEVDeals] - [Budget Initial (Seq: 1)] SC Taxes During Const - Send]&gt;</t>
        </r>
      </text>
    </comment>
    <comment ref="H96" authorId="1" shapeId="0" xr:uid="{00000000-0006-0000-2100-0000A2000000}">
      <text>
        <r>
          <rPr>
            <b/>
            <sz val="9"/>
            <color indexed="81"/>
            <rFont val="Tahoma"/>
            <family val="2"/>
          </rPr>
          <t>&lt;[[DEVDeals] - [Budget Initial (Seq: 1)] SC Builders Insurance - Send]&gt;</t>
        </r>
      </text>
    </comment>
    <comment ref="G97" authorId="1" shapeId="0" xr:uid="{00000000-0006-0000-2100-0000A3000000}">
      <text>
        <r>
          <rPr>
            <b/>
            <sz val="9"/>
            <color indexed="81"/>
            <rFont val="Tahoma"/>
            <family val="2"/>
          </rPr>
          <t>&lt;[[DEVDeals] - [Budget Initial (Seq: 1)] SC Other5 Comments - Send]&gt;</t>
        </r>
      </text>
    </comment>
    <comment ref="H97" authorId="1" shapeId="0" xr:uid="{00000000-0006-0000-2100-0000A4000000}">
      <text>
        <r>
          <rPr>
            <b/>
            <sz val="9"/>
            <color indexed="81"/>
            <rFont val="Tahoma"/>
            <family val="2"/>
          </rPr>
          <t>&lt;[[DEVDeals] - [Budget Initial (Seq: 1)] SC Other5 - Send]&gt;</t>
        </r>
      </text>
    </comment>
    <comment ref="G99" authorId="1" shapeId="0" xr:uid="{00000000-0006-0000-2100-0000A5000000}">
      <text>
        <r>
          <rPr>
            <b/>
            <sz val="9"/>
            <color indexed="81"/>
            <rFont val="Tahoma"/>
            <family val="2"/>
          </rPr>
          <t>&lt;[[DEVDeals] - [Budget Initial (Seq: 1)] SC Other1 Comments - Send]&gt;</t>
        </r>
      </text>
    </comment>
    <comment ref="H99" authorId="1" shapeId="0" xr:uid="{00000000-0006-0000-2100-0000A6000000}">
      <text>
        <r>
          <rPr>
            <b/>
            <sz val="9"/>
            <color indexed="81"/>
            <rFont val="Tahoma"/>
            <family val="2"/>
          </rPr>
          <t>&lt;[[DEVDeals] - [Budget Initial (Seq: 1)] SC Other1 - Send]&gt;</t>
        </r>
      </text>
    </comment>
    <comment ref="H100" authorId="1" shapeId="0" xr:uid="{00000000-0006-0000-2100-0000A7000000}">
      <text>
        <r>
          <rPr>
            <b/>
            <sz val="9"/>
            <color indexed="81"/>
            <rFont val="Tahoma"/>
            <family val="2"/>
          </rPr>
          <t>&lt;[[DEVDeals] - [Budget Initial (Seq: 1)] SC Construction Interest - Send]&gt;</t>
        </r>
      </text>
    </comment>
    <comment ref="H101" authorId="1" shapeId="0" xr:uid="{00000000-0006-0000-2100-0000A8000000}">
      <text>
        <r>
          <rPr>
            <b/>
            <sz val="9"/>
            <color indexed="81"/>
            <rFont val="Tahoma"/>
            <family val="2"/>
          </rPr>
          <t>&lt;[[DEVDeals] - [Budget Initial (Seq: 1)] SC HFA Finance Fee - Send]&gt;</t>
        </r>
      </text>
    </comment>
    <comment ref="G102" authorId="1" shapeId="0" xr:uid="{00000000-0006-0000-2100-0000A9000000}">
      <text>
        <r>
          <rPr>
            <b/>
            <sz val="9"/>
            <color indexed="81"/>
            <rFont val="Tahoma"/>
            <family val="2"/>
          </rPr>
          <t>&lt;[[DEVDeals] - [Budget Initial (Seq: 1)] SC Other2 Comments - Send]&gt;</t>
        </r>
      </text>
    </comment>
    <comment ref="H102" authorId="1" shapeId="0" xr:uid="{00000000-0006-0000-2100-0000AA000000}">
      <text>
        <r>
          <rPr>
            <b/>
            <sz val="9"/>
            <color indexed="81"/>
            <rFont val="Tahoma"/>
            <family val="2"/>
          </rPr>
          <t>&lt;[[DEVDeals] - [Budget Initial (Seq: 1)] SC Other2 - Send]&gt;</t>
        </r>
      </text>
    </comment>
    <comment ref="G103" authorId="1" shapeId="0" xr:uid="{00000000-0006-0000-2100-0000AB000000}">
      <text>
        <r>
          <rPr>
            <b/>
            <sz val="9"/>
            <color indexed="81"/>
            <rFont val="Tahoma"/>
            <family val="2"/>
          </rPr>
          <t>&lt;[[DEVDeals] - [Budget Initial (Seq: 1)] SC Other6 Comments - Send]&gt;</t>
        </r>
      </text>
    </comment>
    <comment ref="H103" authorId="1" shapeId="0" xr:uid="{00000000-0006-0000-2100-0000AC000000}">
      <text>
        <r>
          <rPr>
            <b/>
            <sz val="9"/>
            <color indexed="81"/>
            <rFont val="Tahoma"/>
            <family val="2"/>
          </rPr>
          <t>&lt;[[DEVDeals] - [Budget Initial (Seq: 1)] SC Other6 - Send]&gt;</t>
        </r>
      </text>
    </comment>
    <comment ref="H105" authorId="1" shapeId="0" xr:uid="{00000000-0006-0000-2100-0000AD000000}">
      <text>
        <r>
          <rPr>
            <b/>
            <sz val="9"/>
            <color indexed="81"/>
            <rFont val="Tahoma"/>
            <family val="2"/>
          </rPr>
          <t>&lt;[[DEVDeals] - [Budget Initial (Seq: 1)] SC Market Study - Send]&gt;</t>
        </r>
      </text>
    </comment>
    <comment ref="H106" authorId="1" shapeId="0" xr:uid="{00000000-0006-0000-2100-0000AE000000}">
      <text>
        <r>
          <rPr>
            <b/>
            <sz val="9"/>
            <color indexed="81"/>
            <rFont val="Tahoma"/>
            <family val="2"/>
          </rPr>
          <t>&lt;[[DEVDeals] - [Budget Initial (Seq: 1)] SC Appraisal - Send]&gt;</t>
        </r>
      </text>
    </comment>
    <comment ref="H107" authorId="1" shapeId="0" xr:uid="{00000000-0006-0000-2100-0000AF000000}">
      <text>
        <r>
          <rPr>
            <b/>
            <sz val="9"/>
            <color indexed="81"/>
            <rFont val="Tahoma"/>
            <family val="2"/>
          </rPr>
          <t>&lt;[[DEVDeals] - [Budget Initial (Seq: 1)] SC Environmental - Send]&gt;</t>
        </r>
      </text>
    </comment>
    <comment ref="H108" authorId="1" shapeId="0" xr:uid="{00000000-0006-0000-2100-0000B0000000}">
      <text>
        <r>
          <rPr>
            <b/>
            <sz val="9"/>
            <color indexed="81"/>
            <rFont val="Tahoma"/>
            <family val="2"/>
          </rPr>
          <t>&lt;[[DEVDeals] - [Budget Initial (Seq: 1)] SC Tax Credit Fee - Send]&gt;</t>
        </r>
      </text>
    </comment>
    <comment ref="H109" authorId="1" shapeId="0" xr:uid="{00000000-0006-0000-2100-0000B1000000}">
      <text>
        <r>
          <rPr>
            <b/>
            <sz val="9"/>
            <color indexed="81"/>
            <rFont val="Tahoma"/>
            <family val="2"/>
          </rPr>
          <t>&lt;[[DEVDeals] - [Budget Initial (Seq: 1)] SC Tenant Relocation - Send]&gt;</t>
        </r>
      </text>
    </comment>
    <comment ref="H110" authorId="1" shapeId="0" xr:uid="{00000000-0006-0000-2100-0000B2000000}">
      <text>
        <r>
          <rPr>
            <b/>
            <sz val="9"/>
            <color indexed="81"/>
            <rFont val="Tahoma"/>
            <family val="2"/>
          </rPr>
          <t>&lt;[[DEVDeals] - [Budget Initial (Seq: 1)] SC Furn Fixt Equip - Send]&gt;</t>
        </r>
      </text>
    </comment>
    <comment ref="G111" authorId="1" shapeId="0" xr:uid="{00000000-0006-0000-2100-0000B3000000}">
      <text>
        <r>
          <rPr>
            <b/>
            <sz val="9"/>
            <color indexed="81"/>
            <rFont val="Tahoma"/>
            <family val="2"/>
          </rPr>
          <t>&lt;[[DEVDeals] - [Budget Initial (Seq: 1)] SC Other7 Comments - Send]&gt;</t>
        </r>
      </text>
    </comment>
    <comment ref="H111" authorId="1" shapeId="0" xr:uid="{00000000-0006-0000-2100-0000B4000000}">
      <text>
        <r>
          <rPr>
            <b/>
            <sz val="9"/>
            <color indexed="81"/>
            <rFont val="Tahoma"/>
            <family val="2"/>
          </rPr>
          <t>&lt;[[DEVDeals] - [Budget Initial (Seq: 1)] SC Other7 - Send]&gt;</t>
        </r>
      </text>
    </comment>
    <comment ref="H113" authorId="1" shapeId="0" xr:uid="{00000000-0006-0000-2100-0000B5000000}">
      <text>
        <r>
          <rPr>
            <b/>
            <sz val="9"/>
            <color indexed="81"/>
            <rFont val="Tahoma"/>
            <family val="2"/>
          </rPr>
          <t>&lt;[[DEVDeals] - [Budget Initial (Seq: 1)] SC Acquisition - Send]&gt;</t>
        </r>
      </text>
    </comment>
    <comment ref="H114" authorId="1" shapeId="0" xr:uid="{00000000-0006-0000-2100-0000B6000000}">
      <text>
        <r>
          <rPr>
            <b/>
            <sz val="9"/>
            <color indexed="81"/>
            <rFont val="Tahoma"/>
            <family val="2"/>
          </rPr>
          <t>&lt;[[DEVDeals] - [Budget Initial (Seq: 1)] SC Land Acquisition - Send]&gt;</t>
        </r>
      </text>
    </comment>
    <comment ref="G115" authorId="1" shapeId="0" xr:uid="{00000000-0006-0000-2100-0000B7000000}">
      <text>
        <r>
          <rPr>
            <b/>
            <sz val="9"/>
            <color indexed="81"/>
            <rFont val="Tahoma"/>
            <family val="2"/>
          </rPr>
          <t>&lt;[[DEVDeals] - [Budget Initial (Seq: 1)] SC Other3 Comments - Send]&gt;</t>
        </r>
      </text>
    </comment>
    <comment ref="H115" authorId="1" shapeId="0" xr:uid="{00000000-0006-0000-2100-0000B8000000}">
      <text>
        <r>
          <rPr>
            <b/>
            <sz val="9"/>
            <color indexed="81"/>
            <rFont val="Tahoma"/>
            <family val="2"/>
          </rPr>
          <t>&lt;[[DEVDeals] - [Budget Initial (Seq: 1)] SC Other3 - Send]&gt;</t>
        </r>
      </text>
    </comment>
    <comment ref="G116" authorId="1" shapeId="0" xr:uid="{00000000-0006-0000-2100-0000B9000000}">
      <text>
        <r>
          <rPr>
            <b/>
            <sz val="9"/>
            <color indexed="81"/>
            <rFont val="Tahoma"/>
            <family val="2"/>
          </rPr>
          <t>&lt;[[DEVDeals] - [Budget Initial (Seq: 1)] SC Other4 Comments - Send]&gt;</t>
        </r>
      </text>
    </comment>
    <comment ref="H116" authorId="1" shapeId="0" xr:uid="{00000000-0006-0000-2100-0000BA000000}">
      <text>
        <r>
          <rPr>
            <b/>
            <sz val="9"/>
            <color indexed="81"/>
            <rFont val="Tahoma"/>
            <family val="2"/>
          </rPr>
          <t>&lt;[[DEVDeals] - [Budget Initial (Seq: 1)] SC Other4 - Send]&gt;</t>
        </r>
      </text>
    </comment>
    <comment ref="G117" authorId="1" shapeId="0" xr:uid="{00000000-0006-0000-2100-0000BB000000}">
      <text>
        <r>
          <rPr>
            <b/>
            <sz val="9"/>
            <color indexed="81"/>
            <rFont val="Tahoma"/>
            <family val="2"/>
          </rPr>
          <t>&lt;[[DEVDeals] - [Budget Initial (Seq: 1)] SC Other8 Comments - Send]&gt;</t>
        </r>
      </text>
    </comment>
    <comment ref="H117" authorId="1" shapeId="0" xr:uid="{00000000-0006-0000-2100-0000BC000000}">
      <text>
        <r>
          <rPr>
            <b/>
            <sz val="9"/>
            <color indexed="81"/>
            <rFont val="Tahoma"/>
            <family val="2"/>
          </rPr>
          <t>&lt;[[DEVDeals] - [Budget Initial (Seq: 1)] SC Other8 - Send]&gt;</t>
        </r>
      </text>
    </comment>
    <comment ref="H119" authorId="1" shapeId="0" xr:uid="{00000000-0006-0000-2100-0000BD000000}">
      <text>
        <r>
          <rPr>
            <b/>
            <sz val="9"/>
            <color indexed="81"/>
            <rFont val="Tahoma"/>
            <family val="2"/>
          </rPr>
          <t>&lt;[[DEVDeals] - [Budget Initial (Seq: 1)] SC Reserves - Send]&gt;</t>
        </r>
      </text>
    </comment>
    <comment ref="H120" authorId="1" shapeId="0" xr:uid="{00000000-0006-0000-2100-0000BE000000}">
      <text>
        <r>
          <rPr>
            <b/>
            <sz val="9"/>
            <color indexed="81"/>
            <rFont val="Tahoma"/>
            <family val="2"/>
          </rPr>
          <t>&lt;[[DEVDeals] - [Budget Initial (Seq: 1)] SC RR Funding - Send]&gt;</t>
        </r>
      </text>
    </comment>
    <comment ref="H121" authorId="1" shapeId="0" xr:uid="{00000000-0006-0000-2100-0000BF000000}">
      <text>
        <r>
          <rPr>
            <b/>
            <sz val="9"/>
            <color indexed="81"/>
            <rFont val="Tahoma"/>
            <family val="2"/>
          </rPr>
          <t>&lt;[[DEVDeals] - [Budget Initial (Seq: 1)] SC Taxes - Send]&gt;</t>
        </r>
      </text>
    </comment>
    <comment ref="H122" authorId="1" shapeId="0" xr:uid="{00000000-0006-0000-2100-0000C0000000}">
      <text>
        <r>
          <rPr>
            <b/>
            <sz val="9"/>
            <color indexed="81"/>
            <rFont val="Tahoma"/>
            <family val="2"/>
          </rPr>
          <t>&lt;[[DEVDeals] - [Budget Initial (Seq: 1)] SC Mrkt Gen Lease Up - Send]&gt;</t>
        </r>
      </text>
    </comment>
    <comment ref="H123" authorId="1" shapeId="0" xr:uid="{00000000-0006-0000-2100-0000C1000000}">
      <text>
        <r>
          <rPr>
            <b/>
            <sz val="9"/>
            <color indexed="81"/>
            <rFont val="Tahoma"/>
            <family val="2"/>
          </rPr>
          <t>&lt;[[DEVDeals] - [Budget Initial (Seq: 1)] SC Org Costs - Send]&gt;</t>
        </r>
      </text>
    </comment>
    <comment ref="H124" authorId="1" shapeId="0" xr:uid="{00000000-0006-0000-2100-0000C2000000}">
      <text>
        <r>
          <rPr>
            <b/>
            <sz val="9"/>
            <color indexed="81"/>
            <rFont val="Tahoma"/>
            <family val="2"/>
          </rPr>
          <t>&lt;[[DEVDeals] - [Budget Initial (Seq: 1)] SC Consultants - Send]&gt;</t>
        </r>
      </text>
    </comment>
    <comment ref="H126" authorId="1" shapeId="0" xr:uid="{00000000-0006-0000-2100-0000C3000000}">
      <text>
        <r>
          <rPr>
            <b/>
            <sz val="9"/>
            <color indexed="81"/>
            <rFont val="Tahoma"/>
            <family val="2"/>
          </rPr>
          <t>&lt;[[DEVDeals] - [Budget Initial (Seq: 1)] SC Development Mgt - Send]&gt;</t>
        </r>
      </text>
    </comment>
    <comment ref="G127" authorId="1" shapeId="0" xr:uid="{00000000-0006-0000-2100-0000C4000000}">
      <text>
        <r>
          <rPr>
            <b/>
            <sz val="9"/>
            <color indexed="81"/>
            <rFont val="Tahoma"/>
            <family val="2"/>
          </rPr>
          <t>&lt;[[DEVDeals] - [Budget Initial (Seq: 1)] SC Other9 Comments - Send]&gt;</t>
        </r>
      </text>
    </comment>
    <comment ref="H127" authorId="1" shapeId="0" xr:uid="{00000000-0006-0000-2100-0000C5000000}">
      <text>
        <r>
          <rPr>
            <b/>
            <sz val="9"/>
            <color indexed="81"/>
            <rFont val="Tahoma"/>
            <family val="2"/>
          </rPr>
          <t>&lt;[[DEVDeals] - [Budget Initial (Seq: 1)] SC Other9 - Send]&gt;</t>
        </r>
      </text>
    </comment>
    <comment ref="H134" authorId="0" shapeId="0" xr:uid="{00000000-0006-0000-2100-0000C6000000}">
      <text>
        <r>
          <rPr>
            <b/>
            <sz val="9"/>
            <color indexed="81"/>
            <rFont val="Tahoma"/>
            <family val="2"/>
          </rPr>
          <t>&lt;[[DEVDeals] - [Associated TC Deal (Seq: 1)] - [TC Property Current Stage (Seq: 1)] - [Actual Property Costs (Seq: 1)] Unit Structures New - Send]&gt;</t>
        </r>
      </text>
    </comment>
    <comment ref="I134" authorId="0" shapeId="0" xr:uid="{00000000-0006-0000-2100-0000C7000000}">
      <text>
        <r>
          <rPr>
            <b/>
            <sz val="9"/>
            <color indexed="81"/>
            <rFont val="Tahoma"/>
            <family val="2"/>
          </rPr>
          <t>&lt;[[DEVDeals] - [Associated TC Deal (Seq: 1)] - [TC Property Current Stage (Seq: 1)] - [Acquisition Property Costs (Seq: 1)] Unit Structures New - Send]&gt;</t>
        </r>
      </text>
    </comment>
    <comment ref="J134" authorId="0" shapeId="0" xr:uid="{00000000-0006-0000-2100-0000C8000000}">
      <text>
        <r>
          <rPr>
            <b/>
            <sz val="9"/>
            <color indexed="81"/>
            <rFont val="Tahoma"/>
            <family val="2"/>
          </rPr>
          <t>&lt;[[DEVDeals] - [Associated TC Deal (Seq: 1)] - [TC Property Current Stage (Seq: 1)] - [4% Construction Property Costs (Seq: 1)] Unit Structures New - Send]&gt;</t>
        </r>
      </text>
    </comment>
    <comment ref="K134" authorId="0" shapeId="0" xr:uid="{00000000-0006-0000-2100-0000C9000000}">
      <text>
        <r>
          <rPr>
            <b/>
            <sz val="9"/>
            <color indexed="81"/>
            <rFont val="Tahoma"/>
            <family val="2"/>
          </rPr>
          <t>&lt;[[DEVDeals] - [Associated TC Deal (Seq: 1)] - [TC Property Current Stage (Seq: 1)] - [9% Construction Property Costs (Seq: 1)] Unit Structures New - Send]&gt;</t>
        </r>
      </text>
    </comment>
    <comment ref="H135" authorId="0" shapeId="0" xr:uid="{00000000-0006-0000-2100-0000CA000000}">
      <text>
        <r>
          <rPr>
            <b/>
            <sz val="9"/>
            <color indexed="81"/>
            <rFont val="Tahoma"/>
            <family val="2"/>
          </rPr>
          <t>&lt;[[DEVDeals] - [Associated TC Deal (Seq: 1)] - [TC Property Current Stage (Seq: 1)] - [Actual Property Costs (Seq: 1)] Unit Structures Rehab - Send]&gt;</t>
        </r>
      </text>
    </comment>
    <comment ref="I135" authorId="0" shapeId="0" xr:uid="{00000000-0006-0000-2100-0000CB000000}">
      <text>
        <r>
          <rPr>
            <b/>
            <sz val="9"/>
            <color indexed="81"/>
            <rFont val="Tahoma"/>
            <family val="2"/>
          </rPr>
          <t>&lt;[[DEVDeals] - [Associated TC Deal (Seq: 1)] - [TC Property Current Stage (Seq: 1)] - [Acquisition Property Costs (Seq: 1)] Unit Structures Rehab - Send]&gt;</t>
        </r>
      </text>
    </comment>
    <comment ref="J135" authorId="0" shapeId="0" xr:uid="{00000000-0006-0000-2100-0000CC000000}">
      <text>
        <r>
          <rPr>
            <b/>
            <sz val="9"/>
            <color indexed="81"/>
            <rFont val="Tahoma"/>
            <family val="2"/>
          </rPr>
          <t>&lt;[[DEVDeals] - [Associated TC Deal (Seq: 1)] - [TC Property Current Stage (Seq: 1)] - [4% Construction Property Costs (Seq: 1)] Unit Structures Rehab - Send]&gt;</t>
        </r>
      </text>
    </comment>
    <comment ref="K135" authorId="0" shapeId="0" xr:uid="{00000000-0006-0000-2100-0000CD000000}">
      <text>
        <r>
          <rPr>
            <b/>
            <sz val="9"/>
            <color indexed="81"/>
            <rFont val="Tahoma"/>
            <family val="2"/>
          </rPr>
          <t>&lt;[[DEVDeals] - [Associated TC Deal (Seq: 1)] - [TC Property Current Stage (Seq: 1)] - [9% Construction Property Costs (Seq: 1)] Unit Structures Rehab - Send]&gt;</t>
        </r>
      </text>
    </comment>
    <comment ref="H136" authorId="0" shapeId="0" xr:uid="{00000000-0006-0000-2100-0000CE000000}">
      <text>
        <r>
          <rPr>
            <b/>
            <sz val="9"/>
            <color indexed="81"/>
            <rFont val="Tahoma"/>
            <family val="2"/>
          </rPr>
          <t>&lt;[[DEVDeals] - [Associated TC Deal (Seq: 1)] - [TC Property Current Stage (Seq: 1)] - [Actual Property Costs (Seq: 1)] Building Permit - Send]&gt;</t>
        </r>
      </text>
    </comment>
    <comment ref="I136" authorId="1" shapeId="0" xr:uid="{00000000-0006-0000-2100-0000CF000000}">
      <text>
        <r>
          <rPr>
            <b/>
            <sz val="9"/>
            <color indexed="81"/>
            <rFont val="Tahoma"/>
            <family val="2"/>
          </rPr>
          <t>&lt;[[DEVDeals] - [Associated TC Deal (Seq: 1)] - [TC Property Current Stage (Seq: 1)] - [Acquisition Property Costs (Seq: 1)] Building Permit - Send]&gt;</t>
        </r>
      </text>
    </comment>
    <comment ref="J136" authorId="1" shapeId="0" xr:uid="{00000000-0006-0000-2100-0000D0000000}">
      <text>
        <r>
          <rPr>
            <b/>
            <sz val="9"/>
            <color indexed="81"/>
            <rFont val="Tahoma"/>
            <family val="2"/>
          </rPr>
          <t>&lt;[[DEVDeals] - [Associated TC Deal (Seq: 1)] - [TC Property Current Stage (Seq: 1)] - [4% Construction Property Costs (Seq: 1)] Building Permit - Send]&gt;</t>
        </r>
      </text>
    </comment>
    <comment ref="K136" authorId="1" shapeId="0" xr:uid="{00000000-0006-0000-2100-0000D1000000}">
      <text>
        <r>
          <rPr>
            <b/>
            <sz val="9"/>
            <color indexed="81"/>
            <rFont val="Tahoma"/>
            <family val="2"/>
          </rPr>
          <t>&lt;[[DEVDeals] - [Associated TC Deal (Seq: 1)] - [TC Property Current Stage (Seq: 1)] - [9% Construction Property Costs (Seq: 1)] Building Permit - Send]&gt;</t>
        </r>
      </text>
    </comment>
    <comment ref="H137" authorId="0" shapeId="0" xr:uid="{00000000-0006-0000-2100-0000D2000000}">
      <text>
        <r>
          <rPr>
            <b/>
            <sz val="9"/>
            <color indexed="81"/>
            <rFont val="Tahoma"/>
            <family val="2"/>
          </rPr>
          <t>&lt;[[DEVDeals] - [Associated TC Deal (Seq: 1)] - [TC Property Current Stage (Seq: 1)] - [Actual Property Costs (Seq: 1)] Engineering - Send]&gt;</t>
        </r>
      </text>
    </comment>
    <comment ref="I137" authorId="1" shapeId="0" xr:uid="{00000000-0006-0000-2100-0000D3000000}">
      <text>
        <r>
          <rPr>
            <b/>
            <sz val="9"/>
            <color indexed="81"/>
            <rFont val="Tahoma"/>
            <family val="2"/>
          </rPr>
          <t>&lt;[[DEVDeals] - [Associated TC Deal (Seq: 1)] - [TC Property Current Stage (Seq: 1)] - [Acquisition Property Costs (Seq: 1)] Engineering - Send]&gt;</t>
        </r>
      </text>
    </comment>
    <comment ref="J137" authorId="1" shapeId="0" xr:uid="{00000000-0006-0000-2100-0000D4000000}">
      <text>
        <r>
          <rPr>
            <b/>
            <sz val="9"/>
            <color indexed="81"/>
            <rFont val="Tahoma"/>
            <family val="2"/>
          </rPr>
          <t>&lt;[[DEVDeals] - [Associated TC Deal (Seq: 1)] - [TC Property Current Stage (Seq: 1)] - [4% Construction Property Costs (Seq: 1)] Engineering - Send]&gt;</t>
        </r>
      </text>
    </comment>
    <comment ref="K137" authorId="1" shapeId="0" xr:uid="{00000000-0006-0000-2100-0000D5000000}">
      <text>
        <r>
          <rPr>
            <b/>
            <sz val="9"/>
            <color indexed="81"/>
            <rFont val="Tahoma"/>
            <family val="2"/>
          </rPr>
          <t>&lt;[[DEVDeals] - [Associated TC Deal (Seq: 1)] - [TC Property Current Stage (Seq: 1)] - [9% Construction Property Costs (Seq: 1)] Engineering - Send]&gt;</t>
        </r>
      </text>
    </comment>
    <comment ref="H138" authorId="0" shapeId="0" xr:uid="{00000000-0006-0000-2100-0000D6000000}">
      <text>
        <r>
          <rPr>
            <b/>
            <sz val="9"/>
            <color indexed="81"/>
            <rFont val="Tahoma"/>
            <family val="2"/>
          </rPr>
          <t>&lt;[[DEVDeals] - [Associated TC Deal (Seq: 1)] - [TC Property Current Stage (Seq: 1)] - [Actual Property Costs (Seq: 1)] Arch Engin Design Fee - Send]&gt;</t>
        </r>
      </text>
    </comment>
    <comment ref="I138" authorId="1" shapeId="0" xr:uid="{00000000-0006-0000-2100-0000D7000000}">
      <text>
        <r>
          <rPr>
            <b/>
            <sz val="9"/>
            <color indexed="81"/>
            <rFont val="Tahoma"/>
            <family val="2"/>
          </rPr>
          <t>&lt;[[DEVDeals] - [Associated TC Deal (Seq: 1)] - [TC Property Current Stage (Seq: 1)] - [Acquisition Property Costs (Seq: 1)] Arch Engin Design Fee - Send]&gt;</t>
        </r>
      </text>
    </comment>
    <comment ref="J138" authorId="1" shapeId="0" xr:uid="{00000000-0006-0000-2100-0000D8000000}">
      <text>
        <r>
          <rPr>
            <b/>
            <sz val="9"/>
            <color indexed="81"/>
            <rFont val="Tahoma"/>
            <family val="2"/>
          </rPr>
          <t>&lt;[[DEVDeals] - [Associated TC Deal (Seq: 1)] - [TC Property Current Stage (Seq: 1)] - [4% Construction Property Costs (Seq: 1)] Arch Engin Design Fee - Send]&gt;</t>
        </r>
      </text>
    </comment>
    <comment ref="K138" authorId="1" shapeId="0" xr:uid="{00000000-0006-0000-2100-0000D9000000}">
      <text>
        <r>
          <rPr>
            <b/>
            <sz val="9"/>
            <color indexed="81"/>
            <rFont val="Tahoma"/>
            <family val="2"/>
          </rPr>
          <t>&lt;[[DEVDeals] - [Associated TC Deal (Seq: 1)] - [TC Property Current Stage (Seq: 1)] - [9% Construction Property Costs (Seq: 1)] Arch Engin Design Fee - Send]&gt;</t>
        </r>
      </text>
    </comment>
    <comment ref="H139" authorId="0" shapeId="0" xr:uid="{00000000-0006-0000-2100-0000DA000000}">
      <text>
        <r>
          <rPr>
            <b/>
            <sz val="9"/>
            <color indexed="81"/>
            <rFont val="Tahoma"/>
            <family val="2"/>
          </rPr>
          <t>&lt;[[DEVDeals] - [Associated TC Deal (Seq: 1)] - [TC Property Current Stage (Seq: 1)] - [Actual Property Costs (Seq: 1)] Closing Legal Fees - Send]&gt;</t>
        </r>
      </text>
    </comment>
    <comment ref="I139" authorId="1" shapeId="0" xr:uid="{00000000-0006-0000-2100-0000DB000000}">
      <text>
        <r>
          <rPr>
            <b/>
            <sz val="9"/>
            <color indexed="81"/>
            <rFont val="Tahoma"/>
            <family val="2"/>
          </rPr>
          <t>&lt;[[DEVDeals] - [Associated TC Deal (Seq: 1)] - [TC Property Current Stage (Seq: 1)] - [Acquisition Property Costs (Seq: 1)] Closing Legal Fees - Send]&gt;</t>
        </r>
      </text>
    </comment>
    <comment ref="J139" authorId="1" shapeId="0" xr:uid="{00000000-0006-0000-2100-0000DC000000}">
      <text>
        <r>
          <rPr>
            <b/>
            <sz val="9"/>
            <color indexed="81"/>
            <rFont val="Tahoma"/>
            <family val="2"/>
          </rPr>
          <t>&lt;[[DEVDeals] - [Associated TC Deal (Seq: 1)] - [TC Property Current Stage (Seq: 1)] - [4% Construction Property Costs (Seq: 1)] Closing Legal Fees - Send]&gt;</t>
        </r>
      </text>
    </comment>
    <comment ref="K139" authorId="1" shapeId="0" xr:uid="{00000000-0006-0000-2100-0000DD000000}">
      <text>
        <r>
          <rPr>
            <b/>
            <sz val="9"/>
            <color indexed="81"/>
            <rFont val="Tahoma"/>
            <family val="2"/>
          </rPr>
          <t>&lt;[[DEVDeals] - [Associated TC Deal (Seq: 1)] - [TC Property Current Stage (Seq: 1)] - [9% Construction Property Costs (Seq: 1)] Closing Legal Fees - Send]&gt;</t>
        </r>
      </text>
    </comment>
    <comment ref="H140" authorId="0" shapeId="0" xr:uid="{00000000-0006-0000-2100-0000DE000000}">
      <text>
        <r>
          <rPr>
            <b/>
            <sz val="9"/>
            <color indexed="81"/>
            <rFont val="Tahoma"/>
            <family val="2"/>
          </rPr>
          <t>&lt;[[DEVDeals] - [Associated TC Deal (Seq: 1)] - [TC Property Current Stage (Seq: 1)] - [Actual Property Costs (Seq: 1)] Title And Recording - Send]&gt;</t>
        </r>
      </text>
    </comment>
    <comment ref="I140" authorId="1" shapeId="0" xr:uid="{00000000-0006-0000-2100-0000DF000000}">
      <text>
        <r>
          <rPr>
            <b/>
            <sz val="9"/>
            <color indexed="81"/>
            <rFont val="Tahoma"/>
            <family val="2"/>
          </rPr>
          <t>&lt;[[DEVDeals] - [Associated TC Deal (Seq: 1)] - [TC Property Current Stage (Seq: 1)] - [Acquisition Property Costs (Seq: 1)] Title And Recording - Send]&gt;</t>
        </r>
      </text>
    </comment>
    <comment ref="J140" authorId="1" shapeId="0" xr:uid="{00000000-0006-0000-2100-0000E0000000}">
      <text>
        <r>
          <rPr>
            <b/>
            <sz val="9"/>
            <color indexed="81"/>
            <rFont val="Tahoma"/>
            <family val="2"/>
          </rPr>
          <t>&lt;[[DEVDeals] - [Associated TC Deal (Seq: 1)] - [TC Property Current Stage (Seq: 1)] - [4% Construction Property Costs (Seq: 1)] Title And Recording - Send]&gt;</t>
        </r>
      </text>
    </comment>
    <comment ref="K140" authorId="1" shapeId="0" xr:uid="{00000000-0006-0000-2100-0000E1000000}">
      <text>
        <r>
          <rPr>
            <b/>
            <sz val="9"/>
            <color indexed="81"/>
            <rFont val="Tahoma"/>
            <family val="2"/>
          </rPr>
          <t>&lt;[[DEVDeals] - [Associated TC Deal (Seq: 1)] - [TC Property Current Stage (Seq: 1)] - [9% Construction Property Costs (Seq: 1)] Title And Recording - Send]&gt;</t>
        </r>
      </text>
    </comment>
    <comment ref="H141" authorId="0" shapeId="0" xr:uid="{00000000-0006-0000-2100-0000E2000000}">
      <text>
        <r>
          <rPr>
            <b/>
            <sz val="9"/>
            <color indexed="81"/>
            <rFont val="Tahoma"/>
            <family val="2"/>
          </rPr>
          <t>&lt;[[DEVDeals] - [Associated TC Deal (Seq: 1)] - [TC Property Current Stage (Seq: 1)] - [Actual Property Costs (Seq: 1)] Cost Cert Fee - Send]&gt;</t>
        </r>
      </text>
    </comment>
    <comment ref="I141" authorId="1" shapeId="0" xr:uid="{00000000-0006-0000-2100-0000E3000000}">
      <text>
        <r>
          <rPr>
            <b/>
            <sz val="9"/>
            <color indexed="81"/>
            <rFont val="Tahoma"/>
            <family val="2"/>
          </rPr>
          <t>&lt;[[DEVDeals] - [Associated TC Deal (Seq: 1)] - [TC Property Current Stage (Seq: 1)] - [Acquisition Property Costs (Seq: 1)] Cost Cert Fee - Send]&gt;</t>
        </r>
      </text>
    </comment>
    <comment ref="J141" authorId="1" shapeId="0" xr:uid="{00000000-0006-0000-2100-0000E4000000}">
      <text>
        <r>
          <rPr>
            <b/>
            <sz val="9"/>
            <color indexed="81"/>
            <rFont val="Tahoma"/>
            <family val="2"/>
          </rPr>
          <t>&lt;[[DEVDeals] - [Associated TC Deal (Seq: 1)] - [TC Property Current Stage (Seq: 1)] - [4% Construction Property Costs (Seq: 1)] Cost Cert Fee - Send]&gt;</t>
        </r>
      </text>
    </comment>
    <comment ref="K141" authorId="1" shapeId="0" xr:uid="{00000000-0006-0000-2100-0000E5000000}">
      <text>
        <r>
          <rPr>
            <b/>
            <sz val="9"/>
            <color indexed="81"/>
            <rFont val="Tahoma"/>
            <family val="2"/>
          </rPr>
          <t>&lt;[[DEVDeals] - [Associated TC Deal (Seq: 1)] - [TC Property Current Stage (Seq: 1)] - [9% Construction Property Costs (Seq: 1)] Cost Cert Fee - Send]&gt;</t>
        </r>
      </text>
    </comment>
    <comment ref="H142" authorId="0" shapeId="0" xr:uid="{00000000-0006-0000-2100-0000E6000000}">
      <text>
        <r>
          <rPr>
            <b/>
            <sz val="9"/>
            <color indexed="81"/>
            <rFont val="Tahoma"/>
            <family val="2"/>
          </rPr>
          <t>&lt;[[DEVDeals] - [Associated TC Deal (Seq: 1)] - [TC Property Current Stage (Seq: 1)] - [Actual Property Costs (Seq: 1)] Taxes Construction - Send]&gt;</t>
        </r>
      </text>
    </comment>
    <comment ref="I142" authorId="1" shapeId="0" xr:uid="{00000000-0006-0000-2100-0000E7000000}">
      <text>
        <r>
          <rPr>
            <b/>
            <sz val="9"/>
            <color indexed="81"/>
            <rFont val="Tahoma"/>
            <family val="2"/>
          </rPr>
          <t>&lt;[[DEVDeals] - [Associated TC Deal (Seq: 1)] - [TC Property Current Stage (Seq: 1)] - [Acquisition Property Costs (Seq: 1)] Taxes Construction - Send]&gt;</t>
        </r>
      </text>
    </comment>
    <comment ref="J142" authorId="1" shapeId="0" xr:uid="{00000000-0006-0000-2100-0000E8000000}">
      <text>
        <r>
          <rPr>
            <b/>
            <sz val="9"/>
            <color indexed="81"/>
            <rFont val="Tahoma"/>
            <family val="2"/>
          </rPr>
          <t>&lt;[[DEVDeals] - [Associated TC Deal (Seq: 1)] - [TC Property Current Stage (Seq: 1)] - [4% Construction Property Costs (Seq: 1)] Taxes Construction - Send]&gt;</t>
        </r>
      </text>
    </comment>
    <comment ref="K142" authorId="1" shapeId="0" xr:uid="{00000000-0006-0000-2100-0000E9000000}">
      <text>
        <r>
          <rPr>
            <b/>
            <sz val="9"/>
            <color indexed="81"/>
            <rFont val="Tahoma"/>
            <family val="2"/>
          </rPr>
          <t>&lt;[[DEVDeals] - [Associated TC Deal (Seq: 1)] - [TC Property Current Stage (Seq: 1)] - [9% Construction Property Costs (Seq: 1)] Taxes Construction - Send]&gt;</t>
        </r>
      </text>
    </comment>
    <comment ref="H143" authorId="0" shapeId="0" xr:uid="{00000000-0006-0000-2100-0000EA000000}">
      <text>
        <r>
          <rPr>
            <b/>
            <sz val="9"/>
            <color indexed="81"/>
            <rFont val="Tahoma"/>
            <family val="2"/>
          </rPr>
          <t>&lt;[[DEVDeals] - [Associated TC Deal (Seq: 1)] - [TC Property Current Stage (Seq: 1)] - [Actual Property Costs (Seq: 1)] Insurance Construction - Send]&gt;</t>
        </r>
      </text>
    </comment>
    <comment ref="I143" authorId="1" shapeId="0" xr:uid="{00000000-0006-0000-2100-0000EB000000}">
      <text>
        <r>
          <rPr>
            <b/>
            <sz val="9"/>
            <color indexed="81"/>
            <rFont val="Tahoma"/>
            <family val="2"/>
          </rPr>
          <t>&lt;[[DEVDeals] - [Associated TC Deal (Seq: 1)] - [TC Property Current Stage (Seq: 1)] - [Acquisition Property Costs (Seq: 1)] Insurance Construction - Send]&gt;</t>
        </r>
      </text>
    </comment>
    <comment ref="J143" authorId="1" shapeId="0" xr:uid="{00000000-0006-0000-2100-0000EC000000}">
      <text>
        <r>
          <rPr>
            <b/>
            <sz val="9"/>
            <color indexed="81"/>
            <rFont val="Tahoma"/>
            <family val="2"/>
          </rPr>
          <t>&lt;[[DEVDeals] - [Associated TC Deal (Seq: 1)] - [TC Property Current Stage (Seq: 1)] - [4% Construction Property Costs (Seq: 1)] Insurance Construction - Send]&gt;</t>
        </r>
      </text>
    </comment>
    <comment ref="K143" authorId="1" shapeId="0" xr:uid="{00000000-0006-0000-2100-0000ED000000}">
      <text>
        <r>
          <rPr>
            <b/>
            <sz val="9"/>
            <color indexed="81"/>
            <rFont val="Tahoma"/>
            <family val="2"/>
          </rPr>
          <t>&lt;[[DEVDeals] - [Associated TC Deal (Seq: 1)] - [TC Property Current Stage (Seq: 1)] - [9% Construction Property Costs (Seq: 1)] Insurance Construction - Send]&gt;</t>
        </r>
      </text>
    </comment>
    <comment ref="G144" authorId="1" shapeId="0" xr:uid="{00000000-0006-0000-2100-0000EE000000}">
      <text>
        <r>
          <rPr>
            <b/>
            <sz val="9"/>
            <color indexed="81"/>
            <rFont val="Tahoma"/>
            <family val="2"/>
          </rPr>
          <t>&lt;[[DEVDeals] - [Associated TC Deal (Seq: 1)] - [TC Property Current Stage (Seq: 1)] Additional Costs5 - Send]&gt;</t>
        </r>
      </text>
    </comment>
    <comment ref="H144" authorId="0" shapeId="0" xr:uid="{00000000-0006-0000-2100-0000EF000000}">
      <text>
        <r>
          <rPr>
            <b/>
            <sz val="9"/>
            <color indexed="81"/>
            <rFont val="Tahoma"/>
            <family val="2"/>
          </rPr>
          <t>&lt;[[DEVDeals] - [Associated TC Deal (Seq: 1)] - [TC Property Current Stage (Seq: 1)] - [Actual Property Costs (Seq: 1)] Acq Addl Cost 5 - Send]&gt;</t>
        </r>
      </text>
    </comment>
    <comment ref="I144" authorId="1" shapeId="0" xr:uid="{00000000-0006-0000-2100-0000F0000000}">
      <text>
        <r>
          <rPr>
            <b/>
            <sz val="9"/>
            <color indexed="81"/>
            <rFont val="Tahoma"/>
            <family val="2"/>
          </rPr>
          <t>&lt;[[DEVDeals] - [Associated TC Deal (Seq: 1)] - [TC Property Current Stage (Seq: 1)] - [Acquisition Property Costs (Seq: 1)] Acq Addl Cost 5 - Send]&gt;</t>
        </r>
      </text>
    </comment>
    <comment ref="J144" authorId="1" shapeId="0" xr:uid="{00000000-0006-0000-2100-0000F1000000}">
      <text>
        <r>
          <rPr>
            <b/>
            <sz val="9"/>
            <color indexed="81"/>
            <rFont val="Tahoma"/>
            <family val="2"/>
          </rPr>
          <t>&lt;[[DEVDeals] - [Associated TC Deal (Seq: 1)] - [TC Property Current Stage (Seq: 1)] - [4% Construction Property Costs (Seq: 1)] Rehab Addl Cost 5 - Send]&gt;</t>
        </r>
      </text>
    </comment>
    <comment ref="K144" authorId="1" shapeId="0" xr:uid="{00000000-0006-0000-2100-0000F2000000}">
      <text>
        <r>
          <rPr>
            <b/>
            <sz val="9"/>
            <color indexed="81"/>
            <rFont val="Tahoma"/>
            <family val="2"/>
          </rPr>
          <t>&lt;[[DEVDeals] - [Associated TC Deal (Seq: 1)] - [TC Property Current Stage (Seq: 1)] - [9% Construction Property Costs (Seq: 1)] Rehab Addl Cost 5 - Send]&gt;</t>
        </r>
      </text>
    </comment>
    <comment ref="H146" authorId="0" shapeId="0" xr:uid="{00000000-0006-0000-2100-0000F3000000}">
      <text>
        <r>
          <rPr>
            <b/>
            <sz val="9"/>
            <color indexed="81"/>
            <rFont val="Tahoma"/>
            <family val="2"/>
          </rPr>
          <t>&lt;[[DEVDeals] - [Associated TC Deal (Seq: 1)] - [TC Property Current Stage (Seq: 1)] - [Actual Property Costs (Seq: 1)] Constr Loan Orig Fee - Send]&gt;</t>
        </r>
      </text>
    </comment>
    <comment ref="I146" authorId="1" shapeId="0" xr:uid="{00000000-0006-0000-2100-0000F4000000}">
      <text>
        <r>
          <rPr>
            <b/>
            <sz val="9"/>
            <color indexed="81"/>
            <rFont val="Tahoma"/>
            <family val="2"/>
          </rPr>
          <t>&lt;[[DEVDeals] - [Associated TC Deal (Seq: 1)] - [TC Property Current Stage (Seq: 1)] - [Acquisition Property Costs (Seq: 1)] Constr Loan Orig Fee - Send]&gt;</t>
        </r>
      </text>
    </comment>
    <comment ref="J146" authorId="1" shapeId="0" xr:uid="{00000000-0006-0000-2100-0000F5000000}">
      <text>
        <r>
          <rPr>
            <b/>
            <sz val="9"/>
            <color indexed="81"/>
            <rFont val="Tahoma"/>
            <family val="2"/>
          </rPr>
          <t>&lt;[[DEVDeals] - [Associated TC Deal (Seq: 1)] - [TC Property Current Stage (Seq: 1)] - [4% Construction Property Costs (Seq: 1)] Constr Loan Orig Fee - Send]&gt;</t>
        </r>
      </text>
    </comment>
    <comment ref="K146" authorId="1" shapeId="0" xr:uid="{00000000-0006-0000-2100-0000F6000000}">
      <text>
        <r>
          <rPr>
            <b/>
            <sz val="9"/>
            <color indexed="81"/>
            <rFont val="Tahoma"/>
            <family val="2"/>
          </rPr>
          <t>&lt;[[DEVDeals] - [Associated TC Deal (Seq: 1)] - [TC Property Current Stage (Seq: 1)] - [9% Construction Property Costs (Seq: 1)] Constr Loan Orig Fee - Send]&gt;</t>
        </r>
      </text>
    </comment>
    <comment ref="H147" authorId="0" shapeId="0" xr:uid="{00000000-0006-0000-2100-0000F7000000}">
      <text>
        <r>
          <rPr>
            <b/>
            <sz val="9"/>
            <color indexed="81"/>
            <rFont val="Tahoma"/>
            <family val="2"/>
          </rPr>
          <t>&lt;[[DEVDeals] - [Associated TC Deal (Seq: 1)] - [TC Property Current Stage (Seq: 1)] - [Actual Property Costs (Seq: 1)] Constr Interest - Send]&gt;</t>
        </r>
      </text>
    </comment>
    <comment ref="I147" authorId="1" shapeId="0" xr:uid="{00000000-0006-0000-2100-0000F8000000}">
      <text>
        <r>
          <rPr>
            <b/>
            <sz val="9"/>
            <color indexed="81"/>
            <rFont val="Tahoma"/>
            <family val="2"/>
          </rPr>
          <t>&lt;[[DEVDeals] - [Associated TC Deal (Seq: 1)] - [TC Property Current Stage (Seq: 1)] - [Acquisition Property Costs (Seq: 1)] Constr Interest - Send]&gt;</t>
        </r>
      </text>
    </comment>
    <comment ref="J147" authorId="1" shapeId="0" xr:uid="{00000000-0006-0000-2100-0000F9000000}">
      <text>
        <r>
          <rPr>
            <b/>
            <sz val="9"/>
            <color indexed="81"/>
            <rFont val="Tahoma"/>
            <family val="2"/>
          </rPr>
          <t>&lt;[[DEVDeals] - [Associated TC Deal (Seq: 1)] - [TC Property Current Stage (Seq: 1)] - [4% Construction Property Costs (Seq: 1)] Constr Interest - Send]&gt;</t>
        </r>
      </text>
    </comment>
    <comment ref="K147" authorId="1" shapeId="0" xr:uid="{00000000-0006-0000-2100-0000FA000000}">
      <text>
        <r>
          <rPr>
            <b/>
            <sz val="9"/>
            <color indexed="81"/>
            <rFont val="Tahoma"/>
            <family val="2"/>
          </rPr>
          <t>&lt;[[DEVDeals] - [Associated TC Deal (Seq: 1)] - [TC Property Current Stage (Seq: 1)] - [9% Construction Property Costs (Seq: 1)] Constr Interest - Send]&gt;</t>
        </r>
      </text>
    </comment>
    <comment ref="H148" authorId="0" shapeId="0" xr:uid="{00000000-0006-0000-2100-0000FB000000}">
      <text>
        <r>
          <rPr>
            <b/>
            <sz val="9"/>
            <color indexed="81"/>
            <rFont val="Tahoma"/>
            <family val="2"/>
          </rPr>
          <t>&lt;[[DEVDeals] - [Associated TC Deal (Seq: 1)] - [TC Property Current Stage (Seq: 1)] - [Actual Property Costs (Seq: 1)] Perm Loan Fee - Send]&gt;</t>
        </r>
      </text>
    </comment>
    <comment ref="I148" authorId="1" shapeId="0" xr:uid="{00000000-0006-0000-2100-0000FC000000}">
      <text>
        <r>
          <rPr>
            <b/>
            <sz val="9"/>
            <color indexed="81"/>
            <rFont val="Tahoma"/>
            <family val="2"/>
          </rPr>
          <t>&lt;[[DEVDeals] - [Associated TC Deal (Seq: 1)] - [TC Property Current Stage (Seq: 1)] - [Acquisition Property Costs (Seq: 1)] Perm Loan Fee - Send]&gt;</t>
        </r>
      </text>
    </comment>
    <comment ref="J148" authorId="1" shapeId="0" xr:uid="{00000000-0006-0000-2100-0000FD000000}">
      <text>
        <r>
          <rPr>
            <b/>
            <sz val="9"/>
            <color indexed="81"/>
            <rFont val="Tahoma"/>
            <family val="2"/>
          </rPr>
          <t>&lt;[[DEVDeals] - [Associated TC Deal (Seq: 1)] - [TC Property Current Stage (Seq: 1)] - [4% Construction Property Costs (Seq: 1)] Perm Loan Fee - Send]&gt;</t>
        </r>
      </text>
    </comment>
    <comment ref="K148" authorId="1" shapeId="0" xr:uid="{00000000-0006-0000-2100-0000FE000000}">
      <text>
        <r>
          <rPr>
            <b/>
            <sz val="9"/>
            <color indexed="81"/>
            <rFont val="Tahoma"/>
            <family val="2"/>
          </rPr>
          <t>&lt;[[DEVDeals] - [Associated TC Deal (Seq: 1)] - [TC Property Current Stage (Seq: 1)] - [9% Construction Property Costs (Seq: 1)] Perm Loan Fee - Send]&gt;</t>
        </r>
      </text>
    </comment>
    <comment ref="H149" authorId="0" shapeId="0" xr:uid="{00000000-0006-0000-2100-0000FF000000}">
      <text>
        <r>
          <rPr>
            <b/>
            <sz val="9"/>
            <color indexed="81"/>
            <rFont val="Tahoma"/>
            <family val="2"/>
          </rPr>
          <t>&lt;[[DEVDeals] - [Associated TC Deal (Seq: 1)] - [TC Property Current Stage (Seq: 1)] - [Actual Property Costs (Seq: 1)] Other Perm Loan Fees - Send]&gt;</t>
        </r>
      </text>
    </comment>
    <comment ref="I149" authorId="1" shapeId="0" xr:uid="{00000000-0006-0000-2100-000000010000}">
      <text>
        <r>
          <rPr>
            <b/>
            <sz val="9"/>
            <color indexed="81"/>
            <rFont val="Tahoma"/>
            <family val="2"/>
          </rPr>
          <t>&lt;[[DEVDeals] - [Associated TC Deal (Seq: 1)] - [TC Property Current Stage (Seq: 1)] - [Acquisition Property Costs (Seq: 1)] Other Perm Loan Fees - Send]&gt;</t>
        </r>
      </text>
    </comment>
    <comment ref="J149" authorId="1" shapeId="0" xr:uid="{00000000-0006-0000-2100-000001010000}">
      <text>
        <r>
          <rPr>
            <b/>
            <sz val="9"/>
            <color indexed="81"/>
            <rFont val="Tahoma"/>
            <family val="2"/>
          </rPr>
          <t>&lt;[[DEVDeals] - [Associated TC Deal (Seq: 1)] - [TC Property Current Stage (Seq: 1)] - [4% Construction Property Costs (Seq: 1)] Other Perm Loan Fees - Send]&gt;</t>
        </r>
      </text>
    </comment>
    <comment ref="K149" authorId="1" shapeId="0" xr:uid="{00000000-0006-0000-2100-000002010000}">
      <text>
        <r>
          <rPr>
            <b/>
            <sz val="9"/>
            <color indexed="81"/>
            <rFont val="Tahoma"/>
            <family val="2"/>
          </rPr>
          <t>&lt;[[DEVDeals] - [Associated TC Deal (Seq: 1)] - [TC Property Current Stage (Seq: 1)] - [9% Construction Property Costs (Seq: 1)] Other Perm Loan Fees - Send]&gt;</t>
        </r>
      </text>
    </comment>
    <comment ref="G150" authorId="1" shapeId="0" xr:uid="{00000000-0006-0000-2100-000003010000}">
      <text>
        <r>
          <rPr>
            <b/>
            <sz val="9"/>
            <color indexed="81"/>
            <rFont val="Tahoma"/>
            <family val="2"/>
          </rPr>
          <t>&lt;[[DEVDeals] - [Associated TC Deal (Seq: 1)] - [TC Property Current Stage (Seq: 1)] Additional Costs6 - Send]&gt;</t>
        </r>
      </text>
    </comment>
    <comment ref="H150" authorId="0" shapeId="0" xr:uid="{00000000-0006-0000-2100-000004010000}">
      <text>
        <r>
          <rPr>
            <b/>
            <sz val="9"/>
            <color indexed="81"/>
            <rFont val="Tahoma"/>
            <family val="2"/>
          </rPr>
          <t>&lt;[[DEVDeals] - [Associated TC Deal (Seq: 1)] - [TC Property Current Stage (Seq: 1)] - [Actual Property Costs (Seq: 1)] Acq Addl Cost 6 - Send]&gt;</t>
        </r>
      </text>
    </comment>
    <comment ref="I150" authorId="1" shapeId="0" xr:uid="{00000000-0006-0000-2100-000005010000}">
      <text>
        <r>
          <rPr>
            <b/>
            <sz val="9"/>
            <color indexed="81"/>
            <rFont val="Tahoma"/>
            <family val="2"/>
          </rPr>
          <t>&lt;[[DEVDeals] - [Associated TC Deal (Seq: 1)] - [TC Property Current Stage (Seq: 1)] - [Acquisition Property Costs (Seq: 1)] Acq Addl Cost 6 - Send]&gt;</t>
        </r>
      </text>
    </comment>
    <comment ref="J150" authorId="1" shapeId="0" xr:uid="{00000000-0006-0000-2100-000006010000}">
      <text>
        <r>
          <rPr>
            <b/>
            <sz val="9"/>
            <color indexed="81"/>
            <rFont val="Tahoma"/>
            <family val="2"/>
          </rPr>
          <t>&lt;[[DEVDeals] - [Associated TC Deal (Seq: 1)] - [TC Property Current Stage (Seq: 1)] - [4% Construction Property Costs (Seq: 1)] Rehab Addl Cost 6 - Send]&gt;</t>
        </r>
      </text>
    </comment>
    <comment ref="K150" authorId="1" shapeId="0" xr:uid="{00000000-0006-0000-2100-000007010000}">
      <text>
        <r>
          <rPr>
            <b/>
            <sz val="9"/>
            <color indexed="81"/>
            <rFont val="Tahoma"/>
            <family val="2"/>
          </rPr>
          <t>&lt;[[DEVDeals] - [Associated TC Deal (Seq: 1)] - [TC Property Current Stage (Seq: 1)] - [9% Construction Property Costs (Seq: 1)] Rehab Addl Cost 6 - Send]&gt;</t>
        </r>
      </text>
    </comment>
    <comment ref="H152" authorId="0" shapeId="0" xr:uid="{00000000-0006-0000-2100-000008010000}">
      <text>
        <r>
          <rPr>
            <b/>
            <sz val="9"/>
            <color indexed="81"/>
            <rFont val="Tahoma"/>
            <family val="2"/>
          </rPr>
          <t>&lt;[[DEVDeals] - [Associated TC Deal (Seq: 1)] - [TC Property Current Stage (Seq: 1)] - [Actual Property Costs (Seq: 1)] Market Study - Send]&gt;</t>
        </r>
      </text>
    </comment>
    <comment ref="I152" authorId="1" shapeId="0" xr:uid="{00000000-0006-0000-2100-000009010000}">
      <text>
        <r>
          <rPr>
            <b/>
            <sz val="9"/>
            <color indexed="81"/>
            <rFont val="Tahoma"/>
            <family val="2"/>
          </rPr>
          <t>&lt;[[DEVDeals] - [Associated TC Deal (Seq: 1)] - [TC Property Current Stage (Seq: 1)] - [Acquisition Property Costs (Seq: 1)] Market Study - Send]&gt;</t>
        </r>
      </text>
    </comment>
    <comment ref="J152" authorId="1" shapeId="0" xr:uid="{00000000-0006-0000-2100-00000A010000}">
      <text>
        <r>
          <rPr>
            <b/>
            <sz val="9"/>
            <color indexed="81"/>
            <rFont val="Tahoma"/>
            <family val="2"/>
          </rPr>
          <t>&lt;[[DEVDeals] - [Associated TC Deal (Seq: 1)] - [TC Property Current Stage (Seq: 1)] - [4% Construction Property Costs (Seq: 1)] Market Study - Send]&gt;</t>
        </r>
      </text>
    </comment>
    <comment ref="K152" authorId="1" shapeId="0" xr:uid="{00000000-0006-0000-2100-00000B010000}">
      <text>
        <r>
          <rPr>
            <b/>
            <sz val="9"/>
            <color indexed="81"/>
            <rFont val="Tahoma"/>
            <family val="2"/>
          </rPr>
          <t>&lt;[[DEVDeals] - [Associated TC Deal (Seq: 1)] - [TC Property Current Stage (Seq: 1)] - [9% Construction Property Costs (Seq: 1)] Market Study - Send]&gt;</t>
        </r>
      </text>
    </comment>
    <comment ref="H153" authorId="0" shapeId="0" xr:uid="{00000000-0006-0000-2100-00000C010000}">
      <text>
        <r>
          <rPr>
            <b/>
            <sz val="9"/>
            <color indexed="81"/>
            <rFont val="Tahoma"/>
            <family val="2"/>
          </rPr>
          <t>&lt;[[DEVDeals] - [Associated TC Deal (Seq: 1)] - [TC Property Current Stage (Seq: 1)] - [Actual Property Costs (Seq: 1)] Appraisal Fee - Send]&gt;</t>
        </r>
      </text>
    </comment>
    <comment ref="I153" authorId="1" shapeId="0" xr:uid="{00000000-0006-0000-2100-00000D010000}">
      <text>
        <r>
          <rPr>
            <b/>
            <sz val="9"/>
            <color indexed="81"/>
            <rFont val="Tahoma"/>
            <family val="2"/>
          </rPr>
          <t>&lt;[[DEVDeals] - [Associated TC Deal (Seq: 1)] - [TC Property Current Stage (Seq: 1)] - [Acquisition Property Costs (Seq: 1)] Appraisal Fee - Send]&gt;</t>
        </r>
      </text>
    </comment>
    <comment ref="J153" authorId="1" shapeId="0" xr:uid="{00000000-0006-0000-2100-00000E010000}">
      <text>
        <r>
          <rPr>
            <b/>
            <sz val="9"/>
            <color indexed="81"/>
            <rFont val="Tahoma"/>
            <family val="2"/>
          </rPr>
          <t>&lt;[[DEVDeals] - [Associated TC Deal (Seq: 1)] - [TC Property Current Stage (Seq: 1)] - [4% Construction Property Costs (Seq: 1)] Appraisal Fee - Send]&gt;</t>
        </r>
      </text>
    </comment>
    <comment ref="K153" authorId="1" shapeId="0" xr:uid="{00000000-0006-0000-2100-00000F010000}">
      <text>
        <r>
          <rPr>
            <b/>
            <sz val="9"/>
            <color indexed="81"/>
            <rFont val="Tahoma"/>
            <family val="2"/>
          </rPr>
          <t>&lt;[[DEVDeals] - [Associated TC Deal (Seq: 1)] - [TC Property Current Stage (Seq: 1)] - [9% Construction Property Costs (Seq: 1)] Appraisal Fee - Send]&gt;</t>
        </r>
      </text>
    </comment>
    <comment ref="H154" authorId="0" shapeId="0" xr:uid="{00000000-0006-0000-2100-000010010000}">
      <text>
        <r>
          <rPr>
            <b/>
            <sz val="9"/>
            <color indexed="81"/>
            <rFont val="Tahoma"/>
            <family val="2"/>
          </rPr>
          <t>&lt;[[DEVDeals] - [Associated TC Deal (Seq: 1)] - [TC Property Current Stage (Seq: 1)] - [Actual Property Costs (Seq: 1)] Enviro Study - Send]&gt;</t>
        </r>
      </text>
    </comment>
    <comment ref="I154" authorId="1" shapeId="0" xr:uid="{00000000-0006-0000-2100-000011010000}">
      <text>
        <r>
          <rPr>
            <b/>
            <sz val="9"/>
            <color indexed="81"/>
            <rFont val="Tahoma"/>
            <family val="2"/>
          </rPr>
          <t>&lt;[[DEVDeals] - [Associated TC Deal (Seq: 1)] - [TC Property Current Stage (Seq: 1)] - [Acquisition Property Costs (Seq: 1)] Enviro Study - Send]&gt;</t>
        </r>
      </text>
    </comment>
    <comment ref="J154" authorId="1" shapeId="0" xr:uid="{00000000-0006-0000-2100-000012010000}">
      <text>
        <r>
          <rPr>
            <b/>
            <sz val="9"/>
            <color indexed="81"/>
            <rFont val="Tahoma"/>
            <family val="2"/>
          </rPr>
          <t>&lt;[[DEVDeals] - [Associated TC Deal (Seq: 1)] - [TC Property Current Stage (Seq: 1)] - [4% Construction Property Costs (Seq: 1)] Enviro Study - Send]&gt;</t>
        </r>
      </text>
    </comment>
    <comment ref="K154" authorId="1" shapeId="0" xr:uid="{00000000-0006-0000-2100-000013010000}">
      <text>
        <r>
          <rPr>
            <b/>
            <sz val="9"/>
            <color indexed="81"/>
            <rFont val="Tahoma"/>
            <family val="2"/>
          </rPr>
          <t>&lt;[[DEVDeals] - [Associated TC Deal (Seq: 1)] - [TC Property Current Stage (Seq: 1)] - [9% Construction Property Costs (Seq: 1)] Enviro Study - Send]&gt;</t>
        </r>
      </text>
    </comment>
    <comment ref="H155" authorId="0" shapeId="0" xr:uid="{00000000-0006-0000-2100-000014010000}">
      <text>
        <r>
          <rPr>
            <b/>
            <sz val="9"/>
            <color indexed="81"/>
            <rFont val="Tahoma"/>
            <family val="2"/>
          </rPr>
          <t>&lt;[[DEVDeals] - [Associated TC Deal (Seq: 1)] - [TC Property Current Stage (Seq: 1)] - [Actual Property Costs (Seq: 1)] Tax Credit Fee - Send]&gt;</t>
        </r>
      </text>
    </comment>
    <comment ref="I155" authorId="1" shapeId="0" xr:uid="{00000000-0006-0000-2100-000015010000}">
      <text>
        <r>
          <rPr>
            <b/>
            <sz val="9"/>
            <color indexed="81"/>
            <rFont val="Tahoma"/>
            <family val="2"/>
          </rPr>
          <t>&lt;[[DEVDeals] - [Associated TC Deal (Seq: 1)] - [TC Property Current Stage (Seq: 1)] - [Acquisition Property Costs (Seq: 1)] Tax Credit Fee - Send]&gt;</t>
        </r>
      </text>
    </comment>
    <comment ref="J155" authorId="1" shapeId="0" xr:uid="{00000000-0006-0000-2100-000016010000}">
      <text>
        <r>
          <rPr>
            <b/>
            <sz val="9"/>
            <color indexed="81"/>
            <rFont val="Tahoma"/>
            <family val="2"/>
          </rPr>
          <t>&lt;[[DEVDeals] - [Associated TC Deal (Seq: 1)] - [TC Property Current Stage (Seq: 1)] - [4% Construction Property Costs (Seq: 1)] Tax Credit Fee - Send]&gt;</t>
        </r>
      </text>
    </comment>
    <comment ref="K155" authorId="1" shapeId="0" xr:uid="{00000000-0006-0000-2100-000017010000}">
      <text>
        <r>
          <rPr>
            <b/>
            <sz val="9"/>
            <color indexed="81"/>
            <rFont val="Tahoma"/>
            <family val="2"/>
          </rPr>
          <t>&lt;[[DEVDeals] - [Associated TC Deal (Seq: 1)] - [TC Property Current Stage (Seq: 1)] - [9% Construction Property Costs (Seq: 1)] Tax Credit Fee - Send]&gt;</t>
        </r>
      </text>
    </comment>
    <comment ref="G156" authorId="1" shapeId="0" xr:uid="{00000000-0006-0000-2100-000018010000}">
      <text>
        <r>
          <rPr>
            <b/>
            <sz val="9"/>
            <color indexed="81"/>
            <rFont val="Tahoma"/>
            <family val="2"/>
          </rPr>
          <t>&lt;[[DEVDeals] - [Associated TC Deal (Seq: 1)] - [TC Property Current Stage (Seq: 1)] Additional Costs10 - Send]&gt;</t>
        </r>
      </text>
    </comment>
    <comment ref="H156" authorId="0" shapeId="0" xr:uid="{00000000-0006-0000-2100-000019010000}">
      <text>
        <r>
          <rPr>
            <b/>
            <sz val="9"/>
            <color indexed="81"/>
            <rFont val="Tahoma"/>
            <family val="2"/>
          </rPr>
          <t>&lt;[[DEVDeals] - [Associated TC Deal (Seq: 1)] - [TC Property Current Stage (Seq: 1)] - [Actual Property Costs (Seq: 1)] Acq Addl Cost 10 - Send]&gt;</t>
        </r>
      </text>
    </comment>
    <comment ref="I156" authorId="1" shapeId="0" xr:uid="{00000000-0006-0000-2100-00001A010000}">
      <text>
        <r>
          <rPr>
            <b/>
            <sz val="9"/>
            <color indexed="81"/>
            <rFont val="Tahoma"/>
            <family val="2"/>
          </rPr>
          <t>&lt;[[DEVDeals] - [Associated TC Deal (Seq: 1)] - [TC Property Current Stage (Seq: 1)] - [Acquisition Property Costs (Seq: 1)] Acq Addl Cost 10 - Send]&gt;</t>
        </r>
      </text>
    </comment>
    <comment ref="J156" authorId="1" shapeId="0" xr:uid="{00000000-0006-0000-2100-00001B010000}">
      <text>
        <r>
          <rPr>
            <b/>
            <sz val="9"/>
            <color indexed="81"/>
            <rFont val="Tahoma"/>
            <family val="2"/>
          </rPr>
          <t>&lt;[[DEVDeals] - [Associated TC Deal (Seq: 1)] - [TC Property Current Stage (Seq: 1)] - [4% Construction Property Costs (Seq: 1)] Rehab Addl Cost 10 - Send]&gt;</t>
        </r>
      </text>
    </comment>
    <comment ref="K156" authorId="1" shapeId="0" xr:uid="{00000000-0006-0000-2100-00001C010000}">
      <text>
        <r>
          <rPr>
            <b/>
            <sz val="9"/>
            <color indexed="81"/>
            <rFont val="Tahoma"/>
            <family val="2"/>
          </rPr>
          <t>&lt;[[DEVDeals] - [Associated TC Deal (Seq: 1)] - [TC Property Current Stage (Seq: 1)] - [9% Construction Property Costs (Seq: 1)] Rehab Addl Cost 10 - Send]&gt;</t>
        </r>
      </text>
    </comment>
    <comment ref="G157" authorId="1" shapeId="0" xr:uid="{00000000-0006-0000-2100-00001D010000}">
      <text>
        <r>
          <rPr>
            <b/>
            <sz val="9"/>
            <color indexed="81"/>
            <rFont val="Tahoma"/>
            <family val="2"/>
          </rPr>
          <t>&lt;[[DEVDeals] - [Associated TC Deal (Seq: 1)] - [TC Property Current Stage (Seq: 1)] Additional Costs11 - Send]&gt;</t>
        </r>
      </text>
    </comment>
    <comment ref="H157" authorId="0" shapeId="0" xr:uid="{00000000-0006-0000-2100-00001E010000}">
      <text>
        <r>
          <rPr>
            <b/>
            <sz val="9"/>
            <color indexed="81"/>
            <rFont val="Tahoma"/>
            <family val="2"/>
          </rPr>
          <t>&lt;[[DEVDeals] - [Associated TC Deal (Seq: 1)] - [TC Property Current Stage (Seq: 1)] - [Actual Property Costs (Seq: 1)] Acq Addl Cost 11 - Send]&gt;</t>
        </r>
      </text>
    </comment>
    <comment ref="I157" authorId="1" shapeId="0" xr:uid="{00000000-0006-0000-2100-00001F010000}">
      <text>
        <r>
          <rPr>
            <b/>
            <sz val="9"/>
            <color indexed="81"/>
            <rFont val="Tahoma"/>
            <family val="2"/>
          </rPr>
          <t>&lt;[[DEVDeals] - [Associated TC Deal (Seq: 1)] - [TC Property Current Stage (Seq: 1)] - [Acquisition Property Costs (Seq: 1)] Acq Addl Cost 11 - Send]&gt;</t>
        </r>
      </text>
    </comment>
    <comment ref="J157" authorId="1" shapeId="0" xr:uid="{00000000-0006-0000-2100-000020010000}">
      <text>
        <r>
          <rPr>
            <b/>
            <sz val="9"/>
            <color indexed="81"/>
            <rFont val="Tahoma"/>
            <family val="2"/>
          </rPr>
          <t>&lt;[[DEVDeals] - [Associated TC Deal (Seq: 1)] - [TC Property Current Stage (Seq: 1)] - [4% Construction Property Costs (Seq: 1)] Rehab Addl Cost 11 - Send]&gt;</t>
        </r>
      </text>
    </comment>
    <comment ref="K157" authorId="1" shapeId="0" xr:uid="{00000000-0006-0000-2100-000021010000}">
      <text>
        <r>
          <rPr>
            <b/>
            <sz val="9"/>
            <color indexed="81"/>
            <rFont val="Tahoma"/>
            <family val="2"/>
          </rPr>
          <t>&lt;[[DEVDeals] - [Associated TC Deal (Seq: 1)] - [TC Property Current Stage (Seq: 1)] - [9% Construction Property Costs (Seq: 1)] Rehab Addl Cost 11 - Send]&gt;</t>
        </r>
      </text>
    </comment>
    <comment ref="G158" authorId="1" shapeId="0" xr:uid="{00000000-0006-0000-2100-000022010000}">
      <text>
        <r>
          <rPr>
            <b/>
            <sz val="9"/>
            <color indexed="81"/>
            <rFont val="Tahoma"/>
            <family val="2"/>
          </rPr>
          <t>&lt;[[DEVDeals] - [Associated TC Deal (Seq: 1)] - [TC Property Current Stage (Seq: 1)] Additional Costs7 - Send]&gt;</t>
        </r>
      </text>
    </comment>
    <comment ref="H158" authorId="0" shapeId="0" xr:uid="{00000000-0006-0000-2100-000023010000}">
      <text>
        <r>
          <rPr>
            <b/>
            <sz val="9"/>
            <color indexed="81"/>
            <rFont val="Tahoma"/>
            <family val="2"/>
          </rPr>
          <t>&lt;[[DEVDeals] - [Associated TC Deal (Seq: 1)] - [TC Property Current Stage (Seq: 1)] - [Actual Property Costs (Seq: 1)] Acq Addl Cost 7 - Send]&gt;</t>
        </r>
      </text>
    </comment>
    <comment ref="I158" authorId="1" shapeId="0" xr:uid="{00000000-0006-0000-2100-000024010000}">
      <text>
        <r>
          <rPr>
            <b/>
            <sz val="9"/>
            <color indexed="81"/>
            <rFont val="Tahoma"/>
            <family val="2"/>
          </rPr>
          <t>&lt;[[DEVDeals] - [Associated TC Deal (Seq: 1)] - [TC Property Current Stage (Seq: 1)] - [Acquisition Property Costs (Seq: 1)] Acq Addl Cost 7 - Send]&gt;</t>
        </r>
      </text>
    </comment>
    <comment ref="J158" authorId="1" shapeId="0" xr:uid="{00000000-0006-0000-2100-000025010000}">
      <text>
        <r>
          <rPr>
            <b/>
            <sz val="9"/>
            <color indexed="81"/>
            <rFont val="Tahoma"/>
            <family val="2"/>
          </rPr>
          <t>&lt;[[DEVDeals] - [Associated TC Deal (Seq: 1)] - [TC Property Current Stage (Seq: 1)] - [4% Construction Property Costs (Seq: 1)] Rehab Addl Cost 7 - Send]&gt;</t>
        </r>
      </text>
    </comment>
    <comment ref="K158" authorId="1" shapeId="0" xr:uid="{00000000-0006-0000-2100-000026010000}">
      <text>
        <r>
          <rPr>
            <b/>
            <sz val="9"/>
            <color indexed="81"/>
            <rFont val="Tahoma"/>
            <family val="2"/>
          </rPr>
          <t>&lt;[[DEVDeals] - [Associated TC Deal (Seq: 1)] - [TC Property Current Stage (Seq: 1)] - [9% Construction Property Costs (Seq: 1)] Rehab Addl Cost 7 - Send]&gt;</t>
        </r>
      </text>
    </comment>
    <comment ref="H160" authorId="0" shapeId="0" xr:uid="{00000000-0006-0000-2100-000027010000}">
      <text>
        <r>
          <rPr>
            <b/>
            <sz val="9"/>
            <color indexed="81"/>
            <rFont val="Tahoma"/>
            <family val="2"/>
          </rPr>
          <t>&lt;[[DEVDeals] - [Associated TC Deal (Seq: 1)] - [TC Property Current Stage (Seq: 1)] - [Actual Property Costs (Seq: 1)] Existing Improvements Cost - Send]&gt;</t>
        </r>
      </text>
    </comment>
    <comment ref="I160" authorId="1" shapeId="0" xr:uid="{00000000-0006-0000-2100-000028010000}">
      <text>
        <r>
          <rPr>
            <b/>
            <sz val="9"/>
            <color indexed="81"/>
            <rFont val="Tahoma"/>
            <family val="2"/>
          </rPr>
          <t>&lt;[[DEVDeals] - [Associated TC Deal (Seq: 1)] - [TC Property Current Stage (Seq: 1)] - [Acquisition Property Costs (Seq: 1)] Existing Improvements Cost - Send]&gt;</t>
        </r>
      </text>
    </comment>
    <comment ref="J160" authorId="1" shapeId="0" xr:uid="{00000000-0006-0000-2100-000029010000}">
      <text>
        <r>
          <rPr>
            <b/>
            <sz val="9"/>
            <color indexed="81"/>
            <rFont val="Tahoma"/>
            <family val="2"/>
          </rPr>
          <t>&lt;[[DEVDeals] - [Associated TC Deal (Seq: 1)] - [TC Property Current Stage (Seq: 1)] - [4% Construction Property Costs (Seq: 1)] Existing Improvements Cost - Send]&gt;</t>
        </r>
      </text>
    </comment>
    <comment ref="K160" authorId="1" shapeId="0" xr:uid="{00000000-0006-0000-2100-00002A010000}">
      <text>
        <r>
          <rPr>
            <b/>
            <sz val="9"/>
            <color indexed="81"/>
            <rFont val="Tahoma"/>
            <family val="2"/>
          </rPr>
          <t>&lt;[[DEVDeals] - [Associated TC Deal (Seq: 1)] - [TC Property Current Stage (Seq: 1)] - [9% Construction Property Costs (Seq: 1)] Existing Improvements Cost - Send]&gt;</t>
        </r>
      </text>
    </comment>
    <comment ref="H161" authorId="0" shapeId="0" xr:uid="{00000000-0006-0000-2100-00002B010000}">
      <text>
        <r>
          <rPr>
            <b/>
            <sz val="9"/>
            <color indexed="81"/>
            <rFont val="Tahoma"/>
            <family val="2"/>
          </rPr>
          <t>&lt;[[DEVDeals] - [Associated TC Deal (Seq: 1)] - [TC Property Current Stage (Seq: 1)] - [Actual Property Costs (Seq: 1)] Land Acq Cost - Send]&gt;</t>
        </r>
      </text>
    </comment>
    <comment ref="I161" authorId="1" shapeId="0" xr:uid="{00000000-0006-0000-2100-00002C010000}">
      <text>
        <r>
          <rPr>
            <b/>
            <sz val="9"/>
            <color indexed="81"/>
            <rFont val="Tahoma"/>
            <family val="2"/>
          </rPr>
          <t>&lt;[[DEVDeals] - [Associated TC Deal (Seq: 1)] - [TC Property Current Stage (Seq: 1)] - [Acquisition Property Costs (Seq: 1)] Land Acq Cost - Send]&gt;</t>
        </r>
      </text>
    </comment>
    <comment ref="J161" authorId="1" shapeId="0" xr:uid="{00000000-0006-0000-2100-00002D010000}">
      <text>
        <r>
          <rPr>
            <b/>
            <sz val="9"/>
            <color indexed="81"/>
            <rFont val="Tahoma"/>
            <family val="2"/>
          </rPr>
          <t>&lt;[[DEVDeals] - [Associated TC Deal (Seq: 1)] - [TC Property Current Stage (Seq: 1)] - [4% Construction Property Costs (Seq: 1)] Land Acq Cost - Send]&gt;</t>
        </r>
      </text>
    </comment>
    <comment ref="K161" authorId="1" shapeId="0" xr:uid="{00000000-0006-0000-2100-00002E010000}">
      <text>
        <r>
          <rPr>
            <b/>
            <sz val="9"/>
            <color indexed="81"/>
            <rFont val="Tahoma"/>
            <family val="2"/>
          </rPr>
          <t>&lt;[[DEVDeals] - [Associated TC Deal (Seq: 1)] - [TC Property Current Stage (Seq: 1)] - [9% Construction Property Costs (Seq: 1)] Land Acq Cost - Send]&gt;</t>
        </r>
      </text>
    </comment>
    <comment ref="G162" authorId="1" shapeId="0" xr:uid="{00000000-0006-0000-2100-00002F010000}">
      <text>
        <r>
          <rPr>
            <b/>
            <sz val="9"/>
            <color indexed="81"/>
            <rFont val="Tahoma"/>
            <family val="2"/>
          </rPr>
          <t>&lt;[[DEVDeals] - [Associated TC Deal (Seq: 1)] - [TC Property Current Stage (Seq: 1)] Additional Costs3 - Send]&gt;</t>
        </r>
      </text>
    </comment>
    <comment ref="H162" authorId="0" shapeId="0" xr:uid="{00000000-0006-0000-2100-000030010000}">
      <text>
        <r>
          <rPr>
            <b/>
            <sz val="9"/>
            <color indexed="81"/>
            <rFont val="Tahoma"/>
            <family val="2"/>
          </rPr>
          <t>&lt;[[DEVDeals] - [Associated TC Deal (Seq: 1)] - [TC Property Current Stage (Seq: 1)] - [Actual Property Costs (Seq: 1)] Acq Addl Cost 3 - Send]&gt;</t>
        </r>
      </text>
    </comment>
    <comment ref="I162" authorId="1" shapeId="0" xr:uid="{00000000-0006-0000-2100-000031010000}">
      <text>
        <r>
          <rPr>
            <b/>
            <sz val="9"/>
            <color indexed="81"/>
            <rFont val="Tahoma"/>
            <family val="2"/>
          </rPr>
          <t>&lt;[[DEVDeals] - [Associated TC Deal (Seq: 1)] - [TC Property Current Stage (Seq: 1)] - [Acquisition Property Costs (Seq: 1)] Acq Addl Cost 3 - Send]&gt;</t>
        </r>
      </text>
    </comment>
    <comment ref="J162" authorId="1" shapeId="0" xr:uid="{00000000-0006-0000-2100-000032010000}">
      <text>
        <r>
          <rPr>
            <b/>
            <sz val="9"/>
            <color indexed="81"/>
            <rFont val="Tahoma"/>
            <family val="2"/>
          </rPr>
          <t>&lt;[[DEVDeals] - [Associated TC Deal (Seq: 1)] - [TC Property Current Stage (Seq: 1)] - [4% Construction Property Costs (Seq: 1)] Rehab Addl Cost 3 - Send]&gt;</t>
        </r>
      </text>
    </comment>
    <comment ref="K162" authorId="1" shapeId="0" xr:uid="{00000000-0006-0000-2100-000033010000}">
      <text>
        <r>
          <rPr>
            <b/>
            <sz val="9"/>
            <color indexed="81"/>
            <rFont val="Tahoma"/>
            <family val="2"/>
          </rPr>
          <t>&lt;[[DEVDeals] - [Associated TC Deal (Seq: 1)] - [TC Property Current Stage (Seq: 1)] - [9% Construction Property Costs (Seq: 1)] Rehab Addl Cost 3 - Send]&gt;</t>
        </r>
      </text>
    </comment>
    <comment ref="G163" authorId="1" shapeId="0" xr:uid="{00000000-0006-0000-2100-000034010000}">
      <text>
        <r>
          <rPr>
            <b/>
            <sz val="9"/>
            <color indexed="81"/>
            <rFont val="Tahoma"/>
            <family val="2"/>
          </rPr>
          <t>&lt;[[DEVDeals] - [Associated TC Deal (Seq: 1)] - [TC Property Current Stage (Seq: 1)] Additional Costs4 - Send]&gt;</t>
        </r>
      </text>
    </comment>
    <comment ref="H163" authorId="0" shapeId="0" xr:uid="{00000000-0006-0000-2100-000035010000}">
      <text>
        <r>
          <rPr>
            <b/>
            <sz val="9"/>
            <color indexed="81"/>
            <rFont val="Tahoma"/>
            <family val="2"/>
          </rPr>
          <t>&lt;[[DEVDeals] - [Associated TC Deal (Seq: 1)] - [TC Property Current Stage (Seq: 1)] - [Actual Property Costs (Seq: 1)] Acq Addl Cost 4 - Send]&gt;</t>
        </r>
      </text>
    </comment>
    <comment ref="I163" authorId="1" shapeId="0" xr:uid="{00000000-0006-0000-2100-000036010000}">
      <text>
        <r>
          <rPr>
            <b/>
            <sz val="9"/>
            <color indexed="81"/>
            <rFont val="Tahoma"/>
            <family val="2"/>
          </rPr>
          <t>&lt;[[DEVDeals] - [Associated TC Deal (Seq: 1)] - [TC Property Current Stage (Seq: 1)] - [Acquisition Property Costs (Seq: 1)] Acq Addl Cost 4 - Send]&gt;</t>
        </r>
      </text>
    </comment>
    <comment ref="J163" authorId="1" shapeId="0" xr:uid="{00000000-0006-0000-2100-000037010000}">
      <text>
        <r>
          <rPr>
            <b/>
            <sz val="9"/>
            <color indexed="81"/>
            <rFont val="Tahoma"/>
            <family val="2"/>
          </rPr>
          <t>&lt;[[DEVDeals] - [Associated TC Deal (Seq: 1)] - [TC Property Current Stage (Seq: 1)] - [4% Construction Property Costs (Seq: 1)] Rehab Addl Cost 4 - Send]&gt;</t>
        </r>
      </text>
    </comment>
    <comment ref="K163" authorId="1" shapeId="0" xr:uid="{00000000-0006-0000-2100-000038010000}">
      <text>
        <r>
          <rPr>
            <b/>
            <sz val="9"/>
            <color indexed="81"/>
            <rFont val="Tahoma"/>
            <family val="2"/>
          </rPr>
          <t>&lt;[[DEVDeals] - [Associated TC Deal (Seq: 1)] - [TC Property Current Stage (Seq: 1)] - [9% Construction Property Costs (Seq: 1)] Rehab Addl Cost 4 - Send]&gt;</t>
        </r>
      </text>
    </comment>
    <comment ref="G164" authorId="1" shapeId="0" xr:uid="{00000000-0006-0000-2100-000039010000}">
      <text>
        <r>
          <rPr>
            <b/>
            <sz val="9"/>
            <color indexed="81"/>
            <rFont val="Tahoma"/>
            <family val="2"/>
          </rPr>
          <t>&lt;[[DEVDeals] - [Associated TC Deal (Seq: 1)] - [TC Property Current Stage (Seq: 1)] Additional Costs8 - Send]&gt;</t>
        </r>
      </text>
    </comment>
    <comment ref="H164" authorId="0" shapeId="0" xr:uid="{00000000-0006-0000-2100-00003A010000}">
      <text>
        <r>
          <rPr>
            <b/>
            <sz val="9"/>
            <color indexed="81"/>
            <rFont val="Tahoma"/>
            <family val="2"/>
          </rPr>
          <t>&lt;[[DEVDeals] - [Associated TC Deal (Seq: 1)] - [TC Property Current Stage (Seq: 1)] - [Actual Property Costs (Seq: 1)] Acq Addl Cost 8 - Send]&gt;</t>
        </r>
      </text>
    </comment>
    <comment ref="I164" authorId="1" shapeId="0" xr:uid="{00000000-0006-0000-2100-00003B010000}">
      <text>
        <r>
          <rPr>
            <b/>
            <sz val="9"/>
            <color indexed="81"/>
            <rFont val="Tahoma"/>
            <family val="2"/>
          </rPr>
          <t>&lt;[[DEVDeals] - [Associated TC Deal (Seq: 1)] - [TC Property Current Stage (Seq: 1)] - [Acquisition Property Costs (Seq: 1)] Acq Addl Cost 8 - Send]&gt;</t>
        </r>
      </text>
    </comment>
    <comment ref="J164" authorId="1" shapeId="0" xr:uid="{00000000-0006-0000-2100-00003C010000}">
      <text>
        <r>
          <rPr>
            <b/>
            <sz val="9"/>
            <color indexed="81"/>
            <rFont val="Tahoma"/>
            <family val="2"/>
          </rPr>
          <t>&lt;[[DEVDeals] - [Associated TC Deal (Seq: 1)] - [TC Property Current Stage (Seq: 1)] - [4% Construction Property Costs (Seq: 1)] Rehab Addl Cost 8 - Send]&gt;</t>
        </r>
      </text>
    </comment>
    <comment ref="K164" authorId="1" shapeId="0" xr:uid="{00000000-0006-0000-2100-00003D010000}">
      <text>
        <r>
          <rPr>
            <b/>
            <sz val="9"/>
            <color indexed="81"/>
            <rFont val="Tahoma"/>
            <family val="2"/>
          </rPr>
          <t>&lt;[[DEVDeals] - [Associated TC Deal (Seq: 1)] - [TC Property Current Stage (Seq: 1)] - [9% Construction Property Costs (Seq: 1)] Rehab Addl Cost 8 - Send]&gt;</t>
        </r>
      </text>
    </comment>
    <comment ref="H166" authorId="0" shapeId="0" xr:uid="{00000000-0006-0000-2100-00003E010000}">
      <text>
        <r>
          <rPr>
            <b/>
            <sz val="9"/>
            <color indexed="81"/>
            <rFont val="Tahoma"/>
            <family val="2"/>
          </rPr>
          <t>&lt;[[DEVDeals] - [Associated TC Deal (Seq: 1)] - [TC Property Current Stage (Seq: 1)] - [Actual Property Costs (Seq: 1)] Oper Reserve - Send]&gt;</t>
        </r>
      </text>
    </comment>
    <comment ref="I166" authorId="1" shapeId="0" xr:uid="{00000000-0006-0000-2100-00003F010000}">
      <text>
        <r>
          <rPr>
            <b/>
            <sz val="9"/>
            <color indexed="81"/>
            <rFont val="Tahoma"/>
            <family val="2"/>
          </rPr>
          <t>&lt;[[DEVDeals] - [Associated TC Deal (Seq: 1)] - [TC Property Current Stage (Seq: 1)] - [Acquisition Property Costs (Seq: 1)] Oper Reserve - Send]&gt;</t>
        </r>
      </text>
    </comment>
    <comment ref="J166" authorId="1" shapeId="0" xr:uid="{00000000-0006-0000-2100-000040010000}">
      <text>
        <r>
          <rPr>
            <b/>
            <sz val="9"/>
            <color indexed="81"/>
            <rFont val="Tahoma"/>
            <family val="2"/>
          </rPr>
          <t>&lt;[[DEVDeals] - [Associated TC Deal (Seq: 1)] - [TC Property Current Stage (Seq: 1)] - [4% Construction Property Costs (Seq: 1)] Oper Reserve - Send]&gt;</t>
        </r>
      </text>
    </comment>
    <comment ref="K166" authorId="1" shapeId="0" xr:uid="{00000000-0006-0000-2100-000041010000}">
      <text>
        <r>
          <rPr>
            <b/>
            <sz val="9"/>
            <color indexed="81"/>
            <rFont val="Tahoma"/>
            <family val="2"/>
          </rPr>
          <t>&lt;[[DEVDeals] - [Associated TC Deal (Seq: 1)] - [TC Property Current Stage (Seq: 1)] - [9% Construction Property Costs (Seq: 1)] Oper Reserve - Send]&gt;</t>
        </r>
      </text>
    </comment>
    <comment ref="G167" authorId="1" shapeId="0" xr:uid="{00000000-0006-0000-2100-000042010000}">
      <text>
        <r>
          <rPr>
            <b/>
            <sz val="9"/>
            <color indexed="81"/>
            <rFont val="Tahoma"/>
            <family val="2"/>
          </rPr>
          <t>&lt;[[DEVDeals] - [Associated TC Deal (Seq: 1)] - [TC Property Current Stage (Seq: 1)] Additional Costs12 - Send]&gt;</t>
        </r>
      </text>
    </comment>
    <comment ref="H167" authorId="0" shapeId="0" xr:uid="{00000000-0006-0000-2100-000043010000}">
      <text>
        <r>
          <rPr>
            <b/>
            <sz val="9"/>
            <color indexed="81"/>
            <rFont val="Tahoma"/>
            <family val="2"/>
          </rPr>
          <t>&lt;[[DEVDeals] - [Associated TC Deal (Seq: 1)] - [TC Property Current Stage (Seq: 1)] - [Actual Property Costs (Seq: 1)] Acq Addl Cost 12 - Send]&gt;</t>
        </r>
      </text>
    </comment>
    <comment ref="I167" authorId="1" shapeId="0" xr:uid="{00000000-0006-0000-2100-000044010000}">
      <text>
        <r>
          <rPr>
            <b/>
            <sz val="9"/>
            <color indexed="81"/>
            <rFont val="Tahoma"/>
            <family val="2"/>
          </rPr>
          <t>&lt;[[DEVDeals] - [Associated TC Deal (Seq: 1)] - [TC Property Current Stage (Seq: 1)] - [Acquisition Property Costs (Seq: 1)] Acq Addl Cost 12 - Send]&gt;</t>
        </r>
      </text>
    </comment>
    <comment ref="J167" authorId="1" shapeId="0" xr:uid="{00000000-0006-0000-2100-000045010000}">
      <text>
        <r>
          <rPr>
            <b/>
            <sz val="9"/>
            <color indexed="81"/>
            <rFont val="Tahoma"/>
            <family val="2"/>
          </rPr>
          <t>&lt;[[DEVDeals] - [Associated TC Deal (Seq: 1)] - [TC Property Current Stage (Seq: 1)] - [4% Construction Property Costs (Seq: 1)] Rehab Addl Cost 12 - Send]&gt;</t>
        </r>
      </text>
    </comment>
    <comment ref="K167" authorId="1" shapeId="0" xr:uid="{00000000-0006-0000-2100-000046010000}">
      <text>
        <r>
          <rPr>
            <b/>
            <sz val="9"/>
            <color indexed="81"/>
            <rFont val="Tahoma"/>
            <family val="2"/>
          </rPr>
          <t>&lt;[[DEVDeals] - [Associated TC Deal (Seq: 1)] - [TC Property Current Stage (Seq: 1)] - [9% Construction Property Costs (Seq: 1)] Rehab Addl Cost 12 - Send]&gt;</t>
        </r>
      </text>
    </comment>
    <comment ref="G168" authorId="1" shapeId="0" xr:uid="{00000000-0006-0000-2100-000047010000}">
      <text>
        <r>
          <rPr>
            <b/>
            <sz val="9"/>
            <color indexed="81"/>
            <rFont val="Tahoma"/>
            <family val="2"/>
          </rPr>
          <t>&lt;[[DEVDeals] - [Associated TC Deal (Seq: 1)] - [TC Property Current Stage (Seq: 1)] Additional Costs13 - Send]&gt;</t>
        </r>
      </text>
    </comment>
    <comment ref="H168" authorId="0" shapeId="0" xr:uid="{00000000-0006-0000-2100-000048010000}">
      <text>
        <r>
          <rPr>
            <b/>
            <sz val="9"/>
            <color indexed="81"/>
            <rFont val="Tahoma"/>
            <family val="2"/>
          </rPr>
          <t>&lt;[[DEVDeals] - [Associated TC Deal (Seq: 1)] - [TC Property Current Stage (Seq: 1)] - [Actual Property Costs (Seq: 1)] Acq Addl Cost 13 - Send]&gt;</t>
        </r>
      </text>
    </comment>
    <comment ref="I168" authorId="1" shapeId="0" xr:uid="{00000000-0006-0000-2100-000049010000}">
      <text>
        <r>
          <rPr>
            <b/>
            <sz val="9"/>
            <color indexed="81"/>
            <rFont val="Tahoma"/>
            <family val="2"/>
          </rPr>
          <t>&lt;[[DEVDeals] - [Associated TC Deal (Seq: 1)] - [TC Property Current Stage (Seq: 1)] - [Acquisition Property Costs (Seq: 1)] Acq Addl Cost 13 - Send]&gt;</t>
        </r>
      </text>
    </comment>
    <comment ref="J168" authorId="1" shapeId="0" xr:uid="{00000000-0006-0000-2100-00004A010000}">
      <text>
        <r>
          <rPr>
            <b/>
            <sz val="9"/>
            <color indexed="81"/>
            <rFont val="Tahoma"/>
            <family val="2"/>
          </rPr>
          <t>&lt;[[DEVDeals] - [Associated TC Deal (Seq: 1)] - [TC Property Current Stage (Seq: 1)] - [4% Construction Property Costs (Seq: 1)] Rehab Addl Cost 13 - Send]&gt;</t>
        </r>
      </text>
    </comment>
    <comment ref="K168" authorId="1" shapeId="0" xr:uid="{00000000-0006-0000-2100-00004B010000}">
      <text>
        <r>
          <rPr>
            <b/>
            <sz val="9"/>
            <color indexed="81"/>
            <rFont val="Tahoma"/>
            <family val="2"/>
          </rPr>
          <t>&lt;[[DEVDeals] - [Associated TC Deal (Seq: 1)] - [TC Property Current Stage (Seq: 1)] - [9% Construction Property Costs (Seq: 1)] Rehab Addl Cost 13 - Send]&gt;</t>
        </r>
      </text>
    </comment>
    <comment ref="G169" authorId="1" shapeId="0" xr:uid="{00000000-0006-0000-2100-00004C010000}">
      <text>
        <r>
          <rPr>
            <b/>
            <sz val="9"/>
            <color indexed="81"/>
            <rFont val="Tahoma"/>
            <family val="2"/>
          </rPr>
          <t>&lt;[[DEVDeals] - [Associated TC Deal (Seq: 1)] - [TC Property Current Stage (Seq: 1)] Additional Costs14 - Send]&gt;</t>
        </r>
      </text>
    </comment>
    <comment ref="H169" authorId="0" shapeId="0" xr:uid="{00000000-0006-0000-2100-00004D010000}">
      <text>
        <r>
          <rPr>
            <b/>
            <sz val="9"/>
            <color indexed="81"/>
            <rFont val="Tahoma"/>
            <family val="2"/>
          </rPr>
          <t>&lt;[[DEVDeals] - [Associated TC Deal (Seq: 1)] - [TC Property Current Stage (Seq: 1)] - [Actual Property Costs (Seq: 1)] Acq Addl Cost 14 - Send]&gt;</t>
        </r>
      </text>
    </comment>
    <comment ref="I169" authorId="1" shapeId="0" xr:uid="{00000000-0006-0000-2100-00004E010000}">
      <text>
        <r>
          <rPr>
            <b/>
            <sz val="9"/>
            <color indexed="81"/>
            <rFont val="Tahoma"/>
            <family val="2"/>
          </rPr>
          <t>&lt;[[DEVDeals] - [Associated TC Deal (Seq: 1)] - [TC Property Current Stage (Seq: 1)] - [Acquisition Property Costs (Seq: 1)] Acq Addl Cost 14 - Send]&gt;</t>
        </r>
      </text>
    </comment>
    <comment ref="J169" authorId="1" shapeId="0" xr:uid="{00000000-0006-0000-2100-00004F010000}">
      <text>
        <r>
          <rPr>
            <b/>
            <sz val="9"/>
            <color indexed="81"/>
            <rFont val="Tahoma"/>
            <family val="2"/>
          </rPr>
          <t>&lt;[[DEVDeals] - [Associated TC Deal (Seq: 1)] - [TC Property Current Stage (Seq: 1)] - [4% Construction Property Costs (Seq: 1)] Rehab Addl Cost 14 - Send]&gt;</t>
        </r>
      </text>
    </comment>
    <comment ref="K169" authorId="1" shapeId="0" xr:uid="{00000000-0006-0000-2100-000050010000}">
      <text>
        <r>
          <rPr>
            <b/>
            <sz val="9"/>
            <color indexed="81"/>
            <rFont val="Tahoma"/>
            <family val="2"/>
          </rPr>
          <t>&lt;[[DEVDeals] - [Associated TC Deal (Seq: 1)] - [TC Property Current Stage (Seq: 1)] - [9% Construction Property Costs (Seq: 1)] Rehab Addl Cost 14 - Send]&gt;</t>
        </r>
      </text>
    </comment>
    <comment ref="G170" authorId="1" shapeId="0" xr:uid="{00000000-0006-0000-2100-000051010000}">
      <text>
        <r>
          <rPr>
            <b/>
            <sz val="9"/>
            <color indexed="81"/>
            <rFont val="Tahoma"/>
            <family val="2"/>
          </rPr>
          <t>&lt;[[DEVDeals] - [Associated TC Deal (Seq: 1)] - [TC Property Current Stage (Seq: 1)] Additional Costs9 - Send]&gt;</t>
        </r>
      </text>
    </comment>
    <comment ref="H170" authorId="0" shapeId="0" xr:uid="{00000000-0006-0000-2100-000052010000}">
      <text>
        <r>
          <rPr>
            <b/>
            <sz val="9"/>
            <color indexed="81"/>
            <rFont val="Tahoma"/>
            <family val="2"/>
          </rPr>
          <t>&lt;[[DEVDeals] - [Associated TC Deal (Seq: 1)] - [TC Property Current Stage (Seq: 1)] - [Actual Property Costs (Seq: 1)] Acq Addl Cost 9 - Send]&gt;</t>
        </r>
      </text>
    </comment>
    <comment ref="I170" authorId="1" shapeId="0" xr:uid="{00000000-0006-0000-2100-000053010000}">
      <text>
        <r>
          <rPr>
            <b/>
            <sz val="9"/>
            <color indexed="81"/>
            <rFont val="Tahoma"/>
            <family val="2"/>
          </rPr>
          <t>&lt;[[DEVDeals] - [Associated TC Deal (Seq: 1)] - [TC Property Current Stage (Seq: 1)] - [Acquisition Property Costs (Seq: 1)] Acq Addl Cost 9 - Send]&gt;</t>
        </r>
      </text>
    </comment>
    <comment ref="J170" authorId="1" shapeId="0" xr:uid="{00000000-0006-0000-2100-000054010000}">
      <text>
        <r>
          <rPr>
            <b/>
            <sz val="9"/>
            <color indexed="81"/>
            <rFont val="Tahoma"/>
            <family val="2"/>
          </rPr>
          <t>&lt;[[DEVDeals] - [Associated TC Deal (Seq: 1)] - [TC Property Current Stage (Seq: 1)] - [4% Construction Property Costs (Seq: 1)] Rehab Addl Cost 9 - Send]&gt;</t>
        </r>
      </text>
    </comment>
    <comment ref="K170" authorId="1" shapeId="0" xr:uid="{00000000-0006-0000-2100-000055010000}">
      <text>
        <r>
          <rPr>
            <b/>
            <sz val="9"/>
            <color indexed="81"/>
            <rFont val="Tahoma"/>
            <family val="2"/>
          </rPr>
          <t>&lt;[[DEVDeals] - [Associated TC Deal (Seq: 1)] - [TC Property Current Stage (Seq: 1)] - [9% Construction Property Costs (Seq: 1)] Rehab Addl Cost 9 - Send]&gt;</t>
        </r>
      </text>
    </comment>
    <comment ref="G172" authorId="1" shapeId="0" xr:uid="{00000000-0006-0000-2100-000056010000}">
      <text>
        <r>
          <rPr>
            <b/>
            <sz val="9"/>
            <color indexed="81"/>
            <rFont val="Tahoma"/>
            <family val="2"/>
          </rPr>
          <t>&lt;[[DEVDeals] - [Associated TC Deal (Seq: 1)] - [TC Property Current Stage (Seq: 1)] Additional Costs15 - Send]&gt;</t>
        </r>
      </text>
    </comment>
    <comment ref="H172" authorId="0" shapeId="0" xr:uid="{00000000-0006-0000-2100-000057010000}">
      <text>
        <r>
          <rPr>
            <b/>
            <sz val="9"/>
            <color indexed="81"/>
            <rFont val="Tahoma"/>
            <family val="2"/>
          </rPr>
          <t>&lt;[[DEVDeals] - [Associated TC Deal (Seq: 1)] - [TC Property Current Stage (Seq: 1)] - [Actual Property Costs (Seq: 1)] Acq Addl Cost 15 - Send]&gt;</t>
        </r>
      </text>
    </comment>
    <comment ref="I172" authorId="1" shapeId="0" xr:uid="{00000000-0006-0000-2100-000058010000}">
      <text>
        <r>
          <rPr>
            <b/>
            <sz val="9"/>
            <color indexed="81"/>
            <rFont val="Tahoma"/>
            <family val="2"/>
          </rPr>
          <t>&lt;[[DEVDeals] - [Associated TC Deal (Seq: 1)] - [TC Property Current Stage (Seq: 1)] - [Acquisition Property Costs (Seq: 1)] Acq Addl Cost 15 - Send]&gt;</t>
        </r>
      </text>
    </comment>
    <comment ref="J172" authorId="1" shapeId="0" xr:uid="{00000000-0006-0000-2100-000059010000}">
      <text>
        <r>
          <rPr>
            <b/>
            <sz val="9"/>
            <color indexed="81"/>
            <rFont val="Tahoma"/>
            <family val="2"/>
          </rPr>
          <t>&lt;[[DEVDeals] - [Associated TC Deal (Seq: 1)] - [TC Property Current Stage (Seq: 1)] - [4% Construction Property Costs (Seq: 1)] Rehab Addl Cost 15 - Send]&gt;</t>
        </r>
      </text>
    </comment>
    <comment ref="K172" authorId="1" shapeId="0" xr:uid="{00000000-0006-0000-2100-00005A010000}">
      <text>
        <r>
          <rPr>
            <b/>
            <sz val="9"/>
            <color indexed="81"/>
            <rFont val="Tahoma"/>
            <family val="2"/>
          </rPr>
          <t>&lt;[[DEVDeals] - [Associated TC Deal (Seq: 1)] - [TC Property Current Stage (Seq: 1)] - [9% Construction Property Costs (Seq: 1)] Rehab Addl Cost 15 - Send]&gt;</t>
        </r>
      </text>
    </comment>
    <comment ref="G173" authorId="1" shapeId="0" xr:uid="{00000000-0006-0000-2100-00005B010000}">
      <text>
        <r>
          <rPr>
            <b/>
            <sz val="9"/>
            <color indexed="81"/>
            <rFont val="Tahoma"/>
            <family val="2"/>
          </rPr>
          <t>&lt;[[DEVDeals] - [Associated TC Deal (Seq: 1)] - [TC Property Current Stage (Seq: 1)] Additional Costs16 - Send]&gt;</t>
        </r>
      </text>
    </comment>
    <comment ref="H173" authorId="0" shapeId="0" xr:uid="{00000000-0006-0000-2100-00005C010000}">
      <text>
        <r>
          <rPr>
            <b/>
            <sz val="9"/>
            <color indexed="81"/>
            <rFont val="Tahoma"/>
            <family val="2"/>
          </rPr>
          <t>&lt;[[DEVDeals] - [Associated TC Deal (Seq: 1)] - [TC Property Current Stage (Seq: 1)] - [Actual Property Costs (Seq: 1)] Acq Addl Cost 16 - Send]&gt;</t>
        </r>
      </text>
    </comment>
    <comment ref="I173" authorId="1" shapeId="0" xr:uid="{00000000-0006-0000-2100-00005D010000}">
      <text>
        <r>
          <rPr>
            <b/>
            <sz val="9"/>
            <color indexed="81"/>
            <rFont val="Tahoma"/>
            <family val="2"/>
          </rPr>
          <t>&lt;[[DEVDeals] - [Associated TC Deal (Seq: 1)] - [TC Property Current Stage (Seq: 1)] - [Acquisition Property Costs (Seq: 1)] Acq Addl Cost 16 - Send]&gt;</t>
        </r>
      </text>
    </comment>
    <comment ref="J173" authorId="1" shapeId="0" xr:uid="{00000000-0006-0000-2100-00005E010000}">
      <text>
        <r>
          <rPr>
            <b/>
            <sz val="9"/>
            <color indexed="81"/>
            <rFont val="Tahoma"/>
            <family val="2"/>
          </rPr>
          <t>&lt;[[DEVDeals] - [Associated TC Deal (Seq: 1)] - [TC Property Current Stage (Seq: 1)] - [4% Construction Property Costs (Seq: 1)] Rehab Addl Cost 16 - Send]&gt;</t>
        </r>
      </text>
    </comment>
    <comment ref="K173" authorId="1" shapeId="0" xr:uid="{00000000-0006-0000-2100-00005F010000}">
      <text>
        <r>
          <rPr>
            <b/>
            <sz val="9"/>
            <color indexed="81"/>
            <rFont val="Tahoma"/>
            <family val="2"/>
          </rPr>
          <t>&lt;[[DEVDeals] - [Associated TC Deal (Seq: 1)] - [TC Property Current Stage (Seq: 1)] - [9% Construction Property Costs (Seq: 1)] Rehab Addl Cost 16 - Send]&gt;</t>
        </r>
      </text>
    </comment>
    <comment ref="H175" authorId="0" shapeId="0" xr:uid="{00000000-0006-0000-2100-000060010000}">
      <text>
        <r>
          <rPr>
            <b/>
            <sz val="9"/>
            <color indexed="81"/>
            <rFont val="Tahoma"/>
            <family val="2"/>
          </rPr>
          <t>&lt;[[DEVDeals] - [Associated TC Deal (Seq: 1)] - [TC Property Current Stage (Seq: 1)] - [Actual Property Costs (Seq: 1)] Developer Fees - Send]&gt;</t>
        </r>
      </text>
    </comment>
    <comment ref="I175" authorId="1" shapeId="0" xr:uid="{00000000-0006-0000-2100-000061010000}">
      <text>
        <r>
          <rPr>
            <b/>
            <sz val="9"/>
            <color indexed="81"/>
            <rFont val="Tahoma"/>
            <family val="2"/>
          </rPr>
          <t>&lt;[[DEVDeals] - [Associated TC Deal (Seq: 1)] - [TC Property Current Stage (Seq: 1)] - [Acquisition Property Costs (Seq: 1)] Developer Fees - Send]&gt;</t>
        </r>
      </text>
    </comment>
    <comment ref="J175" authorId="1" shapeId="0" xr:uid="{00000000-0006-0000-2100-000062010000}">
      <text>
        <r>
          <rPr>
            <b/>
            <sz val="9"/>
            <color indexed="81"/>
            <rFont val="Tahoma"/>
            <family val="2"/>
          </rPr>
          <t>&lt;[[DEVDeals] - [Associated TC Deal (Seq: 1)] - [TC Property Current Stage (Seq: 1)] - [4% Construction Property Costs (Seq: 1)] Developer Fees - Send]&gt;</t>
        </r>
      </text>
    </comment>
    <comment ref="K175" authorId="1" shapeId="0" xr:uid="{00000000-0006-0000-2100-000063010000}">
      <text>
        <r>
          <rPr>
            <b/>
            <sz val="9"/>
            <color indexed="81"/>
            <rFont val="Tahoma"/>
            <family val="2"/>
          </rPr>
          <t>&lt;[[DEVDeals] - [Associated TC Deal (Seq: 1)] - [TC Property Current Stage (Seq: 1)] - [9% Construction Property Costs (Seq: 1)] Developer Fees - Send]&gt;</t>
        </r>
      </text>
    </comment>
    <comment ref="M183" authorId="0" shapeId="0" xr:uid="{00000000-0006-0000-2100-000064010000}">
      <text>
        <r>
          <rPr>
            <b/>
            <sz val="9"/>
            <color indexed="81"/>
            <rFont val="Tahoma"/>
            <family val="2"/>
          </rPr>
          <t>&lt;[[DEVDeals] - [Funding (Seq: 1)] All DEV Funding Sources - Send]&gt;</t>
        </r>
      </text>
    </comment>
    <comment ref="N183" authorId="1" shapeId="0" xr:uid="{00000000-0006-0000-2100-000065010000}">
      <text>
        <r>
          <rPr>
            <b/>
            <sz val="9"/>
            <color indexed="81"/>
            <rFont val="Tahoma"/>
            <family val="2"/>
          </rPr>
          <t>&lt;[[DEVDeals] - [Funding (Seq: 1)] Instrument Type - Send]&gt;</t>
        </r>
      </text>
    </comment>
    <comment ref="O183" authorId="1" shapeId="0" xr:uid="{00000000-0006-0000-2100-000066010000}">
      <text>
        <r>
          <rPr>
            <b/>
            <sz val="9"/>
            <color indexed="81"/>
            <rFont val="Tahoma"/>
            <family val="2"/>
          </rPr>
          <t>&lt;[[DEVDeals] - [Funding (Seq: 1)] Term - Send]&gt;</t>
        </r>
      </text>
    </comment>
    <comment ref="P183" authorId="1" shapeId="0" xr:uid="{00000000-0006-0000-2100-000067010000}">
      <text>
        <r>
          <rPr>
            <b/>
            <sz val="9"/>
            <color indexed="81"/>
            <rFont val="Tahoma"/>
            <family val="2"/>
          </rPr>
          <t>&lt;[[DEVDeals] - [Funding (Seq: 1)] Rate - Send]&gt;</t>
        </r>
      </text>
    </comment>
    <comment ref="Q183" authorId="1" shapeId="0" xr:uid="{00000000-0006-0000-2100-000068010000}">
      <text>
        <r>
          <rPr>
            <b/>
            <sz val="9"/>
            <color indexed="81"/>
            <rFont val="Tahoma"/>
            <family val="2"/>
          </rPr>
          <t>&lt;[[DEVDeals] - [Funding (Seq: 1)] Program Type - Send]&gt;</t>
        </r>
      </text>
    </comment>
    <comment ref="S183" authorId="1" shapeId="0" xr:uid="{00000000-0006-0000-2100-000069010000}">
      <text>
        <r>
          <rPr>
            <b/>
            <sz val="9"/>
            <color indexed="81"/>
            <rFont val="Tahoma"/>
            <family val="2"/>
          </rPr>
          <t>&lt;[[DEVDeals] - [Funding (Seq: 1)] Amount - Send]&gt;</t>
        </r>
      </text>
    </comment>
    <comment ref="V183" authorId="1" shapeId="0" xr:uid="{00000000-0006-0000-2100-00006A010000}">
      <text>
        <r>
          <rPr>
            <b/>
            <sz val="9"/>
            <color indexed="81"/>
            <rFont val="Tahoma"/>
            <family val="2"/>
          </rPr>
          <t>&lt;[[DEVDeals] - [Associated TC Deal (Seq: 1)] - [TC Property Current Stage (Seq: 1)] - [Property Financing (Seq: 1)] Source Name - Send]&gt;</t>
        </r>
      </text>
    </comment>
    <comment ref="W183" authorId="1" shapeId="0" xr:uid="{00000000-0006-0000-2100-00006B010000}">
      <text>
        <r>
          <rPr>
            <b/>
            <sz val="9"/>
            <color indexed="81"/>
            <rFont val="Tahoma"/>
            <family val="2"/>
          </rPr>
          <t>&lt;[[DEVDeals] - [Associated TC Deal (Seq: 1)] - [TC Property Current Stage (Seq: 1)] - [Property Financing (Seq: 1)] Financing Type - Send]&gt;</t>
        </r>
      </text>
    </comment>
    <comment ref="X183" authorId="1" shapeId="0" xr:uid="{00000000-0006-0000-2100-00006C010000}">
      <text>
        <r>
          <rPr>
            <b/>
            <sz val="9"/>
            <color indexed="81"/>
            <rFont val="Tahoma"/>
            <family val="2"/>
          </rPr>
          <t>&lt;[[DEVDeals] - [Associated TC Deal (Seq: 1)] - [TC Property Current Stage (Seq: 1)] - [Property Financing (Seq: 1)] Amount - Send]&gt;</t>
        </r>
      </text>
    </comment>
    <comment ref="Y183" authorId="1" shapeId="0" xr:uid="{00000000-0006-0000-2100-00006D010000}">
      <text>
        <r>
          <rPr>
            <b/>
            <sz val="9"/>
            <color indexed="81"/>
            <rFont val="Tahoma"/>
            <family val="2"/>
          </rPr>
          <t>&lt;[[DEVDeals] - [Associated TC Deal (Seq: 1)] - [TC Property Current Stage (Seq: 1)] - [Property Financing (Seq: 1)] Loan Term - Send]&gt;</t>
        </r>
      </text>
    </comment>
    <comment ref="Z183" authorId="1" shapeId="0" xr:uid="{00000000-0006-0000-2100-00006E010000}">
      <text>
        <r>
          <rPr>
            <b/>
            <sz val="9"/>
            <color indexed="81"/>
            <rFont val="Tahoma"/>
            <family val="2"/>
          </rPr>
          <t>&lt;[[DEVDeals] - [Associated TC Deal (Seq: 1)] - [TC Property Current Stage (Seq: 1)] - [Property Financing (Seq: 1)] Interest Rate - Send]&gt;</t>
        </r>
      </text>
    </comment>
    <comment ref="AC183" authorId="1" shapeId="0" xr:uid="{00000000-0006-0000-2100-00006F010000}">
      <text>
        <r>
          <rPr>
            <b/>
            <sz val="9"/>
            <color indexed="81"/>
            <rFont val="Tahoma"/>
            <family val="2"/>
          </rPr>
          <t>&lt;[[DEVDeals] - [Budget Initial (Seq: 1)] - [Budget Initial - User Defined Field Values (Seq: 1)] Sources - Source 1 Name CLC - Send]&gt;</t>
        </r>
      </text>
    </comment>
    <comment ref="AD183" authorId="1" shapeId="0" xr:uid="{00000000-0006-0000-2100-000070010000}">
      <text>
        <r>
          <rPr>
            <b/>
            <sz val="9"/>
            <color indexed="81"/>
            <rFont val="Tahoma"/>
            <family val="2"/>
          </rPr>
          <t>&lt;[[DEVDeals] - [Budget Initial (Seq: 1)] - [Budget Initial - User Defined Field Values (Seq: 1)] Sources - Source 1 CLC Amount - Send]&gt;</t>
        </r>
      </text>
    </comment>
    <comment ref="AE183" authorId="1" shapeId="0" xr:uid="{00000000-0006-0000-2100-000071010000}">
      <text>
        <r>
          <rPr>
            <b/>
            <sz val="9"/>
            <color indexed="81"/>
            <rFont val="Tahoma"/>
            <family val="2"/>
          </rPr>
          <t>&lt;[[DEVDeals] - [Budget Initial (Seq: 1)] - [Budget Initial - User Defined Field Values (Seq: 1)] Sources - Source 1 Name PLC - Send]&gt;</t>
        </r>
      </text>
    </comment>
    <comment ref="AF183" authorId="1" shapeId="0" xr:uid="{00000000-0006-0000-2100-000072010000}">
      <text>
        <r>
          <rPr>
            <b/>
            <sz val="9"/>
            <color indexed="81"/>
            <rFont val="Tahoma"/>
            <family val="2"/>
          </rPr>
          <t>&lt;[[DEVDeals] - [Budget Initial (Seq: 1)] - [Budget Initial - User Defined Field Values (Seq: 1)] Sources - Source 1 PLC Amount - Send]&gt;</t>
        </r>
      </text>
    </comment>
    <comment ref="M184" authorId="0" shapeId="0" xr:uid="{00000000-0006-0000-2100-000073010000}">
      <text>
        <r>
          <rPr>
            <b/>
            <sz val="9"/>
            <color indexed="81"/>
            <rFont val="Tahoma"/>
            <family val="2"/>
          </rPr>
          <t>&lt;[[DEVDeals] - [Funding (Seq: 2)] All DEV Funding Sources - Send]&gt;</t>
        </r>
      </text>
    </comment>
    <comment ref="N184" authorId="1" shapeId="0" xr:uid="{00000000-0006-0000-2100-000074010000}">
      <text>
        <r>
          <rPr>
            <b/>
            <sz val="9"/>
            <color indexed="81"/>
            <rFont val="Tahoma"/>
            <family val="2"/>
          </rPr>
          <t>&lt;[[DEVDeals] - [Funding (Seq: 2)] Instrument Type - Send]&gt;</t>
        </r>
      </text>
    </comment>
    <comment ref="O184" authorId="1" shapeId="0" xr:uid="{00000000-0006-0000-2100-000075010000}">
      <text>
        <r>
          <rPr>
            <b/>
            <sz val="9"/>
            <color indexed="81"/>
            <rFont val="Tahoma"/>
            <family val="2"/>
          </rPr>
          <t>&lt;[[DEVDeals] - [Funding (Seq: 2)] Term - Send]&gt;</t>
        </r>
      </text>
    </comment>
    <comment ref="P184" authorId="1" shapeId="0" xr:uid="{00000000-0006-0000-2100-000076010000}">
      <text>
        <r>
          <rPr>
            <b/>
            <sz val="9"/>
            <color indexed="81"/>
            <rFont val="Tahoma"/>
            <family val="2"/>
          </rPr>
          <t>&lt;[[DEVDeals] - [Funding (Seq: 2)] Rate - Send]&gt;</t>
        </r>
      </text>
    </comment>
    <comment ref="Q184" authorId="1" shapeId="0" xr:uid="{00000000-0006-0000-2100-000077010000}">
      <text>
        <r>
          <rPr>
            <b/>
            <sz val="9"/>
            <color indexed="81"/>
            <rFont val="Tahoma"/>
            <family val="2"/>
          </rPr>
          <t>&lt;[[DEVDeals] - [Funding (Seq: 2)] Program Type - Send]&gt;</t>
        </r>
      </text>
    </comment>
    <comment ref="S184" authorId="1" shapeId="0" xr:uid="{00000000-0006-0000-2100-000078010000}">
      <text>
        <r>
          <rPr>
            <b/>
            <sz val="9"/>
            <color indexed="81"/>
            <rFont val="Tahoma"/>
            <family val="2"/>
          </rPr>
          <t>&lt;[[DEVDeals] - [Funding (Seq: 1)] Amount - Send]&gt;</t>
        </r>
      </text>
    </comment>
    <comment ref="V184" authorId="1" shapeId="0" xr:uid="{00000000-0006-0000-2100-000079010000}">
      <text>
        <r>
          <rPr>
            <b/>
            <sz val="9"/>
            <color indexed="81"/>
            <rFont val="Tahoma"/>
            <family val="2"/>
          </rPr>
          <t>&lt;[[DEVDeals] - [Associated TC Deal (Seq: 1)] - [TC Property Current Stage (Seq: 1)] - [Property Financing (Seq: 2)] Source Name - Send]&gt;</t>
        </r>
      </text>
    </comment>
    <comment ref="W184" authorId="1" shapeId="0" xr:uid="{00000000-0006-0000-2100-00007A010000}">
      <text>
        <r>
          <rPr>
            <b/>
            <sz val="9"/>
            <color indexed="81"/>
            <rFont val="Tahoma"/>
            <family val="2"/>
          </rPr>
          <t>&lt;[[DEVDeals] - [Associated TC Deal (Seq: 1)] - [TC Property Current Stage (Seq: 1)] - [Property Financing (Seq: 2)] Financing Type - Send]&gt;</t>
        </r>
      </text>
    </comment>
    <comment ref="X184" authorId="1" shapeId="0" xr:uid="{00000000-0006-0000-2100-00007B010000}">
      <text>
        <r>
          <rPr>
            <b/>
            <sz val="9"/>
            <color indexed="81"/>
            <rFont val="Tahoma"/>
            <family val="2"/>
          </rPr>
          <t>&lt;[[DEVDeals] - [Associated TC Deal (Seq: 1)] - [TC Property Current Stage (Seq: 1)] - [Property Financing (Seq: 2)] Amount - Send]&gt;</t>
        </r>
      </text>
    </comment>
    <comment ref="Y184" authorId="1" shapeId="0" xr:uid="{00000000-0006-0000-2100-00007C010000}">
      <text>
        <r>
          <rPr>
            <b/>
            <sz val="9"/>
            <color indexed="81"/>
            <rFont val="Tahoma"/>
            <family val="2"/>
          </rPr>
          <t>&lt;[[DEVDeals] - [Associated TC Deal (Seq: 1)] - [TC Property Current Stage (Seq: 1)] - [Property Financing (Seq: 2)] Loan Term - Send]&gt;</t>
        </r>
      </text>
    </comment>
    <comment ref="Z184" authorId="1" shapeId="0" xr:uid="{00000000-0006-0000-2100-00007D010000}">
      <text>
        <r>
          <rPr>
            <b/>
            <sz val="9"/>
            <color indexed="81"/>
            <rFont val="Tahoma"/>
            <family val="2"/>
          </rPr>
          <t>&lt;[[DEVDeals] - [Associated TC Deal (Seq: 1)] - [TC Property Current Stage (Seq: 1)] - [Property Financing (Seq: 2)] Interest Rate - Send]&gt;</t>
        </r>
      </text>
    </comment>
    <comment ref="AC184" authorId="1" shapeId="0" xr:uid="{00000000-0006-0000-2100-00007E010000}">
      <text>
        <r>
          <rPr>
            <b/>
            <sz val="9"/>
            <color indexed="81"/>
            <rFont val="Tahoma"/>
            <family val="2"/>
          </rPr>
          <t>&lt;[[DEVDeals] - [Budget Initial (Seq: 1)] - [Budget Initial - User Defined Field Values (Seq: 1)] Sources - Source 2 Name CLC - Send]&gt;</t>
        </r>
      </text>
    </comment>
    <comment ref="AD184" authorId="1" shapeId="0" xr:uid="{00000000-0006-0000-2100-00007F010000}">
      <text>
        <r>
          <rPr>
            <b/>
            <sz val="9"/>
            <color indexed="81"/>
            <rFont val="Tahoma"/>
            <family val="2"/>
          </rPr>
          <t>&lt;[[DEVDeals] - [Budget Initial (Seq: 1)] - [Budget Initial - User Defined Field Values (Seq: 1)] Sources - Source 2 CLC Amount - Send]&gt;</t>
        </r>
      </text>
    </comment>
    <comment ref="AE184" authorId="1" shapeId="0" xr:uid="{00000000-0006-0000-2100-000080010000}">
      <text>
        <r>
          <rPr>
            <b/>
            <sz val="9"/>
            <color indexed="81"/>
            <rFont val="Tahoma"/>
            <family val="2"/>
          </rPr>
          <t>&lt;[[DEVDeals] - [Budget Initial (Seq: 1)] - [Budget Initial - User Defined Field Values (Seq: 1)] Sources - Source 2 Name PLC - Send]&gt;</t>
        </r>
      </text>
    </comment>
    <comment ref="AF184" authorId="1" shapeId="0" xr:uid="{00000000-0006-0000-2100-000081010000}">
      <text>
        <r>
          <rPr>
            <b/>
            <sz val="9"/>
            <color indexed="81"/>
            <rFont val="Tahoma"/>
            <family val="2"/>
          </rPr>
          <t>&lt;[[DEVDeals] - [Budget Initial (Seq: 1)] - [Budget Initial - User Defined Field Values (Seq: 1)] Sources - Source 1 PLC Amount - Send]&gt;</t>
        </r>
      </text>
    </comment>
    <comment ref="M185" authorId="0" shapeId="0" xr:uid="{00000000-0006-0000-2100-000082010000}">
      <text>
        <r>
          <rPr>
            <b/>
            <sz val="9"/>
            <color indexed="81"/>
            <rFont val="Tahoma"/>
            <family val="2"/>
          </rPr>
          <t>&lt;[[DEVDeals] - [Funding (Seq: 3)] All DEV Funding Sources - Send]&gt;</t>
        </r>
      </text>
    </comment>
    <comment ref="N185" authorId="1" shapeId="0" xr:uid="{00000000-0006-0000-2100-000083010000}">
      <text>
        <r>
          <rPr>
            <b/>
            <sz val="9"/>
            <color indexed="81"/>
            <rFont val="Tahoma"/>
            <family val="2"/>
          </rPr>
          <t>&lt;[[DEVDeals] - [Funding (Seq: 3)] Instrument Type - Send]&gt;</t>
        </r>
      </text>
    </comment>
    <comment ref="O185" authorId="1" shapeId="0" xr:uid="{00000000-0006-0000-2100-000084010000}">
      <text>
        <r>
          <rPr>
            <b/>
            <sz val="9"/>
            <color indexed="81"/>
            <rFont val="Tahoma"/>
            <family val="2"/>
          </rPr>
          <t>&lt;[[DEVDeals] - [Funding (Seq: 3)] Term - Send]&gt;</t>
        </r>
      </text>
    </comment>
    <comment ref="P185" authorId="1" shapeId="0" xr:uid="{00000000-0006-0000-2100-000085010000}">
      <text>
        <r>
          <rPr>
            <b/>
            <sz val="9"/>
            <color indexed="81"/>
            <rFont val="Tahoma"/>
            <family val="2"/>
          </rPr>
          <t>&lt;[[DEVDeals] - [Funding (Seq: 3)] Rate - Send]&gt;</t>
        </r>
      </text>
    </comment>
    <comment ref="Q185" authorId="1" shapeId="0" xr:uid="{00000000-0006-0000-2100-000086010000}">
      <text>
        <r>
          <rPr>
            <b/>
            <sz val="9"/>
            <color indexed="81"/>
            <rFont val="Tahoma"/>
            <family val="2"/>
          </rPr>
          <t>&lt;[[DEVDeals] - [Funding (Seq: 3)] Program Type - Send]&gt;</t>
        </r>
      </text>
    </comment>
    <comment ref="S185" authorId="1" shapeId="0" xr:uid="{00000000-0006-0000-2100-000087010000}">
      <text>
        <r>
          <rPr>
            <b/>
            <sz val="9"/>
            <color indexed="81"/>
            <rFont val="Tahoma"/>
            <family val="2"/>
          </rPr>
          <t>&lt;[[DEVDeals] - [Funding (Seq: 3)] Amount - Send]&gt;</t>
        </r>
      </text>
    </comment>
    <comment ref="V185" authorId="1" shapeId="0" xr:uid="{00000000-0006-0000-2100-000088010000}">
      <text>
        <r>
          <rPr>
            <b/>
            <sz val="9"/>
            <color indexed="81"/>
            <rFont val="Tahoma"/>
            <family val="2"/>
          </rPr>
          <t>&lt;[[DEVDeals] - [Associated TC Deal (Seq: 1)] - [TC Property Current Stage (Seq: 1)] - [Property Financing (Seq: 3)] Source Name - Send]&gt;</t>
        </r>
      </text>
    </comment>
    <comment ref="W185" authorId="1" shapeId="0" xr:uid="{00000000-0006-0000-2100-000089010000}">
      <text>
        <r>
          <rPr>
            <b/>
            <sz val="9"/>
            <color indexed="81"/>
            <rFont val="Tahoma"/>
            <family val="2"/>
          </rPr>
          <t>&lt;[[DEVDeals] - [Associated TC Deal (Seq: 1)] - [TC Property Current Stage (Seq: 1)] - [Property Financing (Seq: 3)] Financing Type - Send]&gt;</t>
        </r>
      </text>
    </comment>
    <comment ref="X185" authorId="1" shapeId="0" xr:uid="{00000000-0006-0000-2100-00008A010000}">
      <text>
        <r>
          <rPr>
            <b/>
            <sz val="9"/>
            <color indexed="81"/>
            <rFont val="Tahoma"/>
            <family val="2"/>
          </rPr>
          <t>&lt;[[DEVDeals] - [Associated TC Deal (Seq: 1)] - [TC Property Current Stage (Seq: 1)] - [Property Financing (Seq: 3)] Amount - Send]&gt;</t>
        </r>
      </text>
    </comment>
    <comment ref="Y185" authorId="1" shapeId="0" xr:uid="{00000000-0006-0000-2100-00008B010000}">
      <text>
        <r>
          <rPr>
            <b/>
            <sz val="9"/>
            <color indexed="81"/>
            <rFont val="Tahoma"/>
            <family val="2"/>
          </rPr>
          <t>&lt;[[DEVDeals] - [Associated TC Deal (Seq: 1)] - [TC Property Current Stage (Seq: 1)] - [Property Financing (Seq: 3)] Loan Term - Send]&gt;</t>
        </r>
      </text>
    </comment>
    <comment ref="Z185" authorId="1" shapeId="0" xr:uid="{00000000-0006-0000-2100-00008C010000}">
      <text>
        <r>
          <rPr>
            <b/>
            <sz val="9"/>
            <color indexed="81"/>
            <rFont val="Tahoma"/>
            <family val="2"/>
          </rPr>
          <t>&lt;[[DEVDeals] - [Associated TC Deal (Seq: 1)] - [TC Property Current Stage (Seq: 1)] - [Property Financing (Seq: 3)] Interest Rate - Send]&gt;</t>
        </r>
      </text>
    </comment>
    <comment ref="AC185" authorId="1" shapeId="0" xr:uid="{00000000-0006-0000-2100-00008D010000}">
      <text>
        <r>
          <rPr>
            <b/>
            <sz val="9"/>
            <color indexed="81"/>
            <rFont val="Tahoma"/>
            <family val="2"/>
          </rPr>
          <t>&lt;[[DEVDeals] - [Budget Initial (Seq: 1)] - [Budget Initial - User Defined Field Values (Seq: 1)] Sources - Source 3 Name CLC - Send]&gt;</t>
        </r>
      </text>
    </comment>
    <comment ref="AD185" authorId="1" shapeId="0" xr:uid="{00000000-0006-0000-2100-00008E010000}">
      <text>
        <r>
          <rPr>
            <b/>
            <sz val="9"/>
            <color indexed="81"/>
            <rFont val="Tahoma"/>
            <family val="2"/>
          </rPr>
          <t>&lt;[[DEVDeals] - [Budget Initial (Seq: 1)] - [Budget Initial - User Defined Field Values (Seq: 1)] Sources - Source 3 CLC Amount - Send]&gt;</t>
        </r>
      </text>
    </comment>
    <comment ref="AE185" authorId="1" shapeId="0" xr:uid="{00000000-0006-0000-2100-00008F010000}">
      <text>
        <r>
          <rPr>
            <b/>
            <sz val="9"/>
            <color indexed="81"/>
            <rFont val="Tahoma"/>
            <family val="2"/>
          </rPr>
          <t>&lt;[[DEVDeals] - [Budget Initial (Seq: 1)] - [Budget Initial - User Defined Field Values (Seq: 1)] Sources - Source 3 Name PLC - Send]&gt;</t>
        </r>
      </text>
    </comment>
    <comment ref="AF185" authorId="1" shapeId="0" xr:uid="{00000000-0006-0000-2100-000090010000}">
      <text>
        <r>
          <rPr>
            <b/>
            <sz val="9"/>
            <color indexed="81"/>
            <rFont val="Tahoma"/>
            <family val="2"/>
          </rPr>
          <t>&lt;[[DEVDeals] - [Budget Initial (Seq: 1)] - [Budget Initial - User Defined Field Values (Seq: 1)] Sources - Source 1 PLC Amount - Send]&gt;</t>
        </r>
      </text>
    </comment>
    <comment ref="M186" authorId="0" shapeId="0" xr:uid="{00000000-0006-0000-2100-000091010000}">
      <text>
        <r>
          <rPr>
            <b/>
            <sz val="9"/>
            <color indexed="81"/>
            <rFont val="Tahoma"/>
            <family val="2"/>
          </rPr>
          <t>&lt;[[DEVDeals] - [Funding (Seq: 4)] All DEV Funding Sources - Send]&gt;</t>
        </r>
      </text>
    </comment>
    <comment ref="N186" authorId="1" shapeId="0" xr:uid="{00000000-0006-0000-2100-000092010000}">
      <text>
        <r>
          <rPr>
            <b/>
            <sz val="9"/>
            <color indexed="81"/>
            <rFont val="Tahoma"/>
            <family val="2"/>
          </rPr>
          <t>&lt;[[DEVDeals] - [Funding (Seq: 4)] Instrument Type - Send]&gt;</t>
        </r>
      </text>
    </comment>
    <comment ref="O186" authorId="1" shapeId="0" xr:uid="{00000000-0006-0000-2100-000093010000}">
      <text>
        <r>
          <rPr>
            <b/>
            <sz val="9"/>
            <color indexed="81"/>
            <rFont val="Tahoma"/>
            <family val="2"/>
          </rPr>
          <t>&lt;[[DEVDeals] - [Funding (Seq: 4)] Term - Send]&gt;</t>
        </r>
      </text>
    </comment>
    <comment ref="P186" authorId="1" shapeId="0" xr:uid="{00000000-0006-0000-2100-000094010000}">
      <text>
        <r>
          <rPr>
            <b/>
            <sz val="9"/>
            <color indexed="81"/>
            <rFont val="Tahoma"/>
            <family val="2"/>
          </rPr>
          <t>&lt;[[DEVDeals] - [Funding (Seq: 4)] Rate - Send]&gt;</t>
        </r>
      </text>
    </comment>
    <comment ref="Q186" authorId="1" shapeId="0" xr:uid="{00000000-0006-0000-2100-000095010000}">
      <text>
        <r>
          <rPr>
            <b/>
            <sz val="9"/>
            <color indexed="81"/>
            <rFont val="Tahoma"/>
            <family val="2"/>
          </rPr>
          <t>&lt;[[DEVDeals] - [Funding (Seq: 4)] Program Type - Send]&gt;</t>
        </r>
      </text>
    </comment>
    <comment ref="S186" authorId="1" shapeId="0" xr:uid="{00000000-0006-0000-2100-000096010000}">
      <text>
        <r>
          <rPr>
            <b/>
            <sz val="9"/>
            <color indexed="81"/>
            <rFont val="Tahoma"/>
            <family val="2"/>
          </rPr>
          <t>&lt;[[DEVDeals] - [Funding (Seq: 4)] Amount - Send]&gt;</t>
        </r>
      </text>
    </comment>
    <comment ref="V186" authorId="1" shapeId="0" xr:uid="{00000000-0006-0000-2100-000097010000}">
      <text>
        <r>
          <rPr>
            <b/>
            <sz val="9"/>
            <color indexed="81"/>
            <rFont val="Tahoma"/>
            <family val="2"/>
          </rPr>
          <t>&lt;[[DEVDeals] - [Associated TC Deal (Seq: 1)] - [TC Property Current Stage (Seq: 1)] - [Property Financing (Seq: 4)] Source Name - Send]&gt;</t>
        </r>
      </text>
    </comment>
    <comment ref="W186" authorId="1" shapeId="0" xr:uid="{00000000-0006-0000-2100-000098010000}">
      <text>
        <r>
          <rPr>
            <b/>
            <sz val="9"/>
            <color indexed="81"/>
            <rFont val="Tahoma"/>
            <family val="2"/>
          </rPr>
          <t>&lt;[[DEVDeals] - [Associated TC Deal (Seq: 1)] - [TC Property Current Stage (Seq: 1)] - [Property Financing (Seq: 4)] Financing Type - Send]&gt;</t>
        </r>
      </text>
    </comment>
    <comment ref="X186" authorId="1" shapeId="0" xr:uid="{00000000-0006-0000-2100-000099010000}">
      <text>
        <r>
          <rPr>
            <b/>
            <sz val="9"/>
            <color indexed="81"/>
            <rFont val="Tahoma"/>
            <family val="2"/>
          </rPr>
          <t>&lt;[[DEVDeals] - [Associated TC Deal (Seq: 1)] - [TC Property Current Stage (Seq: 1)] - [Property Financing (Seq: 4)] Amount - Send]&gt;</t>
        </r>
      </text>
    </comment>
    <comment ref="Y186" authorId="1" shapeId="0" xr:uid="{00000000-0006-0000-2100-00009A010000}">
      <text>
        <r>
          <rPr>
            <b/>
            <sz val="9"/>
            <color indexed="81"/>
            <rFont val="Tahoma"/>
            <family val="2"/>
          </rPr>
          <t>&lt;[[DEVDeals] - [Associated TC Deal (Seq: 1)] - [TC Property Current Stage (Seq: 1)] - [Property Financing (Seq: 4)] Loan Term - Send]&gt;</t>
        </r>
      </text>
    </comment>
    <comment ref="Z186" authorId="1" shapeId="0" xr:uid="{00000000-0006-0000-2100-00009B010000}">
      <text>
        <r>
          <rPr>
            <b/>
            <sz val="9"/>
            <color indexed="81"/>
            <rFont val="Tahoma"/>
            <family val="2"/>
          </rPr>
          <t>&lt;[[DEVDeals] - [Associated TC Deal (Seq: 1)] - [TC Property Current Stage (Seq: 1)] - [Property Financing (Seq: 4)] Interest Rate - Send]&gt;</t>
        </r>
      </text>
    </comment>
    <comment ref="AC186" authorId="1" shapeId="0" xr:uid="{00000000-0006-0000-2100-00009C010000}">
      <text>
        <r>
          <rPr>
            <b/>
            <sz val="9"/>
            <color indexed="81"/>
            <rFont val="Tahoma"/>
            <family val="2"/>
          </rPr>
          <t>&lt;[[DEVDeals] - [Budget Initial (Seq: 1)] - [Budget Initial - User Defined Field Values (Seq: 1)] Sources - Source 4 Name CLC - Send]&gt;</t>
        </r>
      </text>
    </comment>
    <comment ref="AD186" authorId="1" shapeId="0" xr:uid="{00000000-0006-0000-2100-00009D010000}">
      <text>
        <r>
          <rPr>
            <b/>
            <sz val="9"/>
            <color indexed="81"/>
            <rFont val="Tahoma"/>
            <family val="2"/>
          </rPr>
          <t>&lt;[[DEVDeals] - [Budget Initial (Seq: 1)] - [Budget Initial - User Defined Field Values (Seq: 1)] Sources - Source 4 CLC Amount - Send]&gt;</t>
        </r>
      </text>
    </comment>
    <comment ref="AE186" authorId="1" shapeId="0" xr:uid="{00000000-0006-0000-2100-00009E010000}">
      <text>
        <r>
          <rPr>
            <b/>
            <sz val="9"/>
            <color indexed="81"/>
            <rFont val="Tahoma"/>
            <family val="2"/>
          </rPr>
          <t>&lt;[[DEVDeals] - [Budget Initial (Seq: 1)] - [Budget Initial - User Defined Field Values (Seq: 1)] Sources - Source 4 Name PLC - Send]&gt;</t>
        </r>
      </text>
    </comment>
    <comment ref="AF186" authorId="1" shapeId="0" xr:uid="{00000000-0006-0000-2100-00009F010000}">
      <text>
        <r>
          <rPr>
            <b/>
            <sz val="9"/>
            <color indexed="81"/>
            <rFont val="Tahoma"/>
            <family val="2"/>
          </rPr>
          <t>&lt;[[DEVDeals] - [Budget Initial (Seq: 1)] - [Budget Initial - User Defined Field Values (Seq: 1)] Sources - Source 1 PLC Amount - Send]&gt;</t>
        </r>
      </text>
    </comment>
    <comment ref="M187" authorId="0" shapeId="0" xr:uid="{00000000-0006-0000-2100-0000A0010000}">
      <text>
        <r>
          <rPr>
            <b/>
            <sz val="9"/>
            <color indexed="81"/>
            <rFont val="Tahoma"/>
            <family val="2"/>
          </rPr>
          <t>&lt;[[DEVDeals] - [Funding (Seq: 5)] All DEV Funding Sources - Send]&gt;</t>
        </r>
      </text>
    </comment>
    <comment ref="N187" authorId="1" shapeId="0" xr:uid="{00000000-0006-0000-2100-0000A1010000}">
      <text>
        <r>
          <rPr>
            <b/>
            <sz val="9"/>
            <color indexed="81"/>
            <rFont val="Tahoma"/>
            <family val="2"/>
          </rPr>
          <t>&lt;[[DEVDeals] - [Funding (Seq: 5)] Instrument Type - Send]&gt;</t>
        </r>
      </text>
    </comment>
    <comment ref="O187" authorId="1" shapeId="0" xr:uid="{00000000-0006-0000-2100-0000A2010000}">
      <text>
        <r>
          <rPr>
            <b/>
            <sz val="9"/>
            <color indexed="81"/>
            <rFont val="Tahoma"/>
            <family val="2"/>
          </rPr>
          <t>&lt;[[DEVDeals] - [Funding (Seq: 5)] Term - Send]&gt;</t>
        </r>
      </text>
    </comment>
    <comment ref="P187" authorId="1" shapeId="0" xr:uid="{00000000-0006-0000-2100-0000A3010000}">
      <text>
        <r>
          <rPr>
            <b/>
            <sz val="9"/>
            <color indexed="81"/>
            <rFont val="Tahoma"/>
            <family val="2"/>
          </rPr>
          <t>&lt;[[DEVDeals] - [Funding (Seq: 5)] Rate - Send]&gt;</t>
        </r>
      </text>
    </comment>
    <comment ref="Q187" authorId="1" shapeId="0" xr:uid="{00000000-0006-0000-2100-0000A4010000}">
      <text>
        <r>
          <rPr>
            <b/>
            <sz val="9"/>
            <color indexed="81"/>
            <rFont val="Tahoma"/>
            <family val="2"/>
          </rPr>
          <t>&lt;[[DEVDeals] - [Funding (Seq: 5)] Program Type - Send]&gt;</t>
        </r>
      </text>
    </comment>
    <comment ref="S187" authorId="1" shapeId="0" xr:uid="{00000000-0006-0000-2100-0000A5010000}">
      <text>
        <r>
          <rPr>
            <b/>
            <sz val="9"/>
            <color indexed="81"/>
            <rFont val="Tahoma"/>
            <family val="2"/>
          </rPr>
          <t>&lt;[[DEVDeals] - [Funding (Seq: 4)] Amount - Send]&gt;</t>
        </r>
      </text>
    </comment>
    <comment ref="V187" authorId="1" shapeId="0" xr:uid="{00000000-0006-0000-2100-0000A6010000}">
      <text>
        <r>
          <rPr>
            <b/>
            <sz val="9"/>
            <color indexed="81"/>
            <rFont val="Tahoma"/>
            <family val="2"/>
          </rPr>
          <t>&lt;[[DEVDeals] - [Associated TC Deal (Seq: 1)] - [TC Property Current Stage (Seq: 1)] - [Property Financing (Seq: 5)] Source Name - Send]&gt;</t>
        </r>
      </text>
    </comment>
    <comment ref="W187" authorId="1" shapeId="0" xr:uid="{00000000-0006-0000-2100-0000A7010000}">
      <text>
        <r>
          <rPr>
            <b/>
            <sz val="9"/>
            <color indexed="81"/>
            <rFont val="Tahoma"/>
            <family val="2"/>
          </rPr>
          <t>&lt;[[DEVDeals] - [Associated TC Deal (Seq: 1)] - [TC Property Current Stage (Seq: 1)] - [Property Financing (Seq: 5)] Financing Type - Send]&gt;</t>
        </r>
      </text>
    </comment>
    <comment ref="X187" authorId="1" shapeId="0" xr:uid="{00000000-0006-0000-2100-0000A8010000}">
      <text>
        <r>
          <rPr>
            <b/>
            <sz val="9"/>
            <color indexed="81"/>
            <rFont val="Tahoma"/>
            <family val="2"/>
          </rPr>
          <t>&lt;[[DEVDeals] - [Associated TC Deal (Seq: 1)] - [TC Property Current Stage (Seq: 1)] - [Property Financing (Seq: 5)] Amount - Send]&gt;</t>
        </r>
      </text>
    </comment>
    <comment ref="Y187" authorId="1" shapeId="0" xr:uid="{00000000-0006-0000-2100-0000A9010000}">
      <text>
        <r>
          <rPr>
            <b/>
            <sz val="9"/>
            <color indexed="81"/>
            <rFont val="Tahoma"/>
            <family val="2"/>
          </rPr>
          <t>&lt;[[DEVDeals] - [Associated TC Deal (Seq: 1)] - [TC Property Current Stage (Seq: 1)] - [Property Financing (Seq: 5)] Loan Term - Send]&gt;</t>
        </r>
      </text>
    </comment>
    <comment ref="Z187" authorId="1" shapeId="0" xr:uid="{00000000-0006-0000-2100-0000AA010000}">
      <text>
        <r>
          <rPr>
            <b/>
            <sz val="9"/>
            <color indexed="81"/>
            <rFont val="Tahoma"/>
            <family val="2"/>
          </rPr>
          <t>&lt;[[DEVDeals] - [Associated TC Deal (Seq: 1)] - [TC Property Current Stage (Seq: 1)] - [Property Financing (Seq: 5)] Interest Rate - Send]&gt;</t>
        </r>
      </text>
    </comment>
    <comment ref="AC187" authorId="1" shapeId="0" xr:uid="{00000000-0006-0000-2100-0000AB010000}">
      <text>
        <r>
          <rPr>
            <b/>
            <sz val="9"/>
            <color indexed="81"/>
            <rFont val="Tahoma"/>
            <family val="2"/>
          </rPr>
          <t>&lt;[[DEVDeals] - [Budget Initial (Seq: 1)] - [Budget Initial - User Defined Field Values (Seq: 1)] Sources - Source 5 Name CLC - Send]&gt;</t>
        </r>
      </text>
    </comment>
    <comment ref="AD187" authorId="1" shapeId="0" xr:uid="{00000000-0006-0000-2100-0000AC010000}">
      <text>
        <r>
          <rPr>
            <b/>
            <sz val="9"/>
            <color indexed="81"/>
            <rFont val="Tahoma"/>
            <family val="2"/>
          </rPr>
          <t>&lt;[[DEVDeals] - [Budget Initial (Seq: 1)] - [Budget Initial - User Defined Field Values (Seq: 1)] Sources - Source 5 CLC Amount - Send]&gt;</t>
        </r>
      </text>
    </comment>
    <comment ref="AE187" authorId="1" shapeId="0" xr:uid="{00000000-0006-0000-2100-0000AD010000}">
      <text>
        <r>
          <rPr>
            <b/>
            <sz val="9"/>
            <color indexed="81"/>
            <rFont val="Tahoma"/>
            <family val="2"/>
          </rPr>
          <t>&lt;[[DEVDeals] - [Budget Initial (Seq: 1)] - [Budget Initial - User Defined Field Values (Seq: 1)] Sources - Source 5 Name PLC - Send]&gt;</t>
        </r>
      </text>
    </comment>
    <comment ref="AF187" authorId="1" shapeId="0" xr:uid="{00000000-0006-0000-2100-0000AE010000}">
      <text>
        <r>
          <rPr>
            <b/>
            <sz val="9"/>
            <color indexed="81"/>
            <rFont val="Tahoma"/>
            <family val="2"/>
          </rPr>
          <t>&lt;[[DEVDeals] - [Budget Initial (Seq: 1)] - [Budget Initial - User Defined Field Values (Seq: 1)] Sources - Source 1 PLC Amount - Send]&gt;</t>
        </r>
      </text>
    </comment>
    <comment ref="M188" authorId="0" shapeId="0" xr:uid="{00000000-0006-0000-2100-0000AF010000}">
      <text>
        <r>
          <rPr>
            <b/>
            <sz val="9"/>
            <color indexed="81"/>
            <rFont val="Tahoma"/>
            <family val="2"/>
          </rPr>
          <t>&lt;[[DEVDeals] - [Funding (Seq: 6)] All DEV Funding Sources - Send]&gt;</t>
        </r>
      </text>
    </comment>
    <comment ref="N188" authorId="1" shapeId="0" xr:uid="{00000000-0006-0000-2100-0000B0010000}">
      <text>
        <r>
          <rPr>
            <b/>
            <sz val="9"/>
            <color indexed="81"/>
            <rFont val="Tahoma"/>
            <family val="2"/>
          </rPr>
          <t>&lt;[[DEVDeals] - [Funding (Seq: 6)] Instrument Type - Send]&gt;</t>
        </r>
      </text>
    </comment>
    <comment ref="O188" authorId="1" shapeId="0" xr:uid="{00000000-0006-0000-2100-0000B1010000}">
      <text>
        <r>
          <rPr>
            <b/>
            <sz val="9"/>
            <color indexed="81"/>
            <rFont val="Tahoma"/>
            <family val="2"/>
          </rPr>
          <t>&lt;[[DEVDeals] - [Funding (Seq: 6)] Term - Send]&gt;</t>
        </r>
      </text>
    </comment>
    <comment ref="P188" authorId="1" shapeId="0" xr:uid="{00000000-0006-0000-2100-0000B2010000}">
      <text>
        <r>
          <rPr>
            <b/>
            <sz val="9"/>
            <color indexed="81"/>
            <rFont val="Tahoma"/>
            <family val="2"/>
          </rPr>
          <t>&lt;[[DEVDeals] - [Funding (Seq: 6)] Rate - Send]&gt;</t>
        </r>
      </text>
    </comment>
    <comment ref="Q188" authorId="1" shapeId="0" xr:uid="{00000000-0006-0000-2100-0000B3010000}">
      <text>
        <r>
          <rPr>
            <b/>
            <sz val="9"/>
            <color indexed="81"/>
            <rFont val="Tahoma"/>
            <family val="2"/>
          </rPr>
          <t>&lt;[[DEVDeals] - [Funding (Seq: 6)] Program Type - Send]&gt;</t>
        </r>
      </text>
    </comment>
    <comment ref="S188" authorId="1" shapeId="0" xr:uid="{00000000-0006-0000-2100-0000B4010000}">
      <text>
        <r>
          <rPr>
            <b/>
            <sz val="9"/>
            <color indexed="81"/>
            <rFont val="Tahoma"/>
            <family val="2"/>
          </rPr>
          <t>&lt;[[DEVDeals] - [Funding (Seq: 6)] Amount - Send]&gt;</t>
        </r>
      </text>
    </comment>
    <comment ref="V188" authorId="1" shapeId="0" xr:uid="{00000000-0006-0000-2100-0000B5010000}">
      <text>
        <r>
          <rPr>
            <b/>
            <sz val="9"/>
            <color indexed="81"/>
            <rFont val="Tahoma"/>
            <family val="2"/>
          </rPr>
          <t>&lt;[[DEVDeals] - [Associated TC Deal (Seq: 1)] - [TC Property Current Stage (Seq: 1)] - [Property Financing (Seq: 6)] Source Name - Send]&gt;</t>
        </r>
      </text>
    </comment>
    <comment ref="W188" authorId="1" shapeId="0" xr:uid="{00000000-0006-0000-2100-0000B6010000}">
      <text>
        <r>
          <rPr>
            <b/>
            <sz val="9"/>
            <color indexed="81"/>
            <rFont val="Tahoma"/>
            <family val="2"/>
          </rPr>
          <t>&lt;[[DEVDeals] - [Associated TC Deal (Seq: 1)] - [TC Property Current Stage (Seq: 1)] - [Property Financing (Seq: 6)] Financing Type - Send]&gt;</t>
        </r>
      </text>
    </comment>
    <comment ref="X188" authorId="1" shapeId="0" xr:uid="{00000000-0006-0000-2100-0000B7010000}">
      <text>
        <r>
          <rPr>
            <b/>
            <sz val="9"/>
            <color indexed="81"/>
            <rFont val="Tahoma"/>
            <family val="2"/>
          </rPr>
          <t>&lt;[[DEVDeals] - [Associated TC Deal (Seq: 1)] - [TC Property Current Stage (Seq: 1)] - [Property Financing (Seq: 6)] Amount - Send]&gt;</t>
        </r>
      </text>
    </comment>
    <comment ref="Y188" authorId="1" shapeId="0" xr:uid="{00000000-0006-0000-2100-0000B8010000}">
      <text>
        <r>
          <rPr>
            <b/>
            <sz val="9"/>
            <color indexed="81"/>
            <rFont val="Tahoma"/>
            <family val="2"/>
          </rPr>
          <t>&lt;[[DEVDeals] - [Associated TC Deal (Seq: 1)] - [TC Property Current Stage (Seq: 1)] - [Property Financing (Seq: 6)] Loan Term - Send]&gt;</t>
        </r>
      </text>
    </comment>
    <comment ref="Z188" authorId="1" shapeId="0" xr:uid="{00000000-0006-0000-2100-0000B9010000}">
      <text>
        <r>
          <rPr>
            <b/>
            <sz val="9"/>
            <color indexed="81"/>
            <rFont val="Tahoma"/>
            <family val="2"/>
          </rPr>
          <t>&lt;[[DEVDeals] - [Associated TC Deal (Seq: 1)] - [TC Property Current Stage (Seq: 1)] - [Property Financing (Seq: 6)] Interest Rate - Send]&gt;</t>
        </r>
      </text>
    </comment>
    <comment ref="AC188" authorId="1" shapeId="0" xr:uid="{00000000-0006-0000-2100-0000BA010000}">
      <text>
        <r>
          <rPr>
            <b/>
            <sz val="9"/>
            <color indexed="81"/>
            <rFont val="Tahoma"/>
            <family val="2"/>
          </rPr>
          <t>&lt;[[DEVDeals] - [Budget Initial (Seq: 1)] - [Budget Initial - User Defined Field Values (Seq: 1)] Sources - Source 6 Name CLC - Send]&gt;</t>
        </r>
      </text>
    </comment>
    <comment ref="AD188" authorId="1" shapeId="0" xr:uid="{00000000-0006-0000-2100-0000BB010000}">
      <text>
        <r>
          <rPr>
            <b/>
            <sz val="9"/>
            <color indexed="81"/>
            <rFont val="Tahoma"/>
            <family val="2"/>
          </rPr>
          <t>&lt;[[DEVDeals] - [Budget Initial (Seq: 1)] - [Budget Initial - User Defined Field Values (Seq: 1)] Sources - Source 6 CLC Amount - Send]&gt;</t>
        </r>
      </text>
    </comment>
    <comment ref="AE188" authorId="1" shapeId="0" xr:uid="{00000000-0006-0000-2100-0000BC010000}">
      <text>
        <r>
          <rPr>
            <b/>
            <sz val="9"/>
            <color indexed="81"/>
            <rFont val="Tahoma"/>
            <family val="2"/>
          </rPr>
          <t>&lt;[[DEVDeals] - [Budget Initial (Seq: 1)] - [Budget Initial - User Defined Field Values (Seq: 1)] Sources - Source 6 Name PLC - Send]&gt;</t>
        </r>
      </text>
    </comment>
    <comment ref="AF188" authorId="1" shapeId="0" xr:uid="{00000000-0006-0000-2100-0000BD010000}">
      <text>
        <r>
          <rPr>
            <b/>
            <sz val="9"/>
            <color indexed="81"/>
            <rFont val="Tahoma"/>
            <family val="2"/>
          </rPr>
          <t>&lt;[[DEVDeals] - [Budget Initial (Seq: 1)] - [Budget Initial - User Defined Field Values (Seq: 1)] Sources - Source 1 PLC Amount - Send]&gt;</t>
        </r>
      </text>
    </comment>
    <comment ref="M189" authorId="0" shapeId="0" xr:uid="{00000000-0006-0000-2100-0000BE010000}">
      <text>
        <r>
          <rPr>
            <b/>
            <sz val="9"/>
            <color indexed="81"/>
            <rFont val="Tahoma"/>
            <family val="2"/>
          </rPr>
          <t>&lt;[[DEVDeals] - [Funding (Seq: 7)] All DEV Funding Sources - Send]&gt;</t>
        </r>
      </text>
    </comment>
    <comment ref="N189" authorId="1" shapeId="0" xr:uid="{00000000-0006-0000-2100-0000BF010000}">
      <text>
        <r>
          <rPr>
            <b/>
            <sz val="9"/>
            <color indexed="81"/>
            <rFont val="Tahoma"/>
            <family val="2"/>
          </rPr>
          <t>&lt;[[DEVDeals] - [Funding (Seq: 7)] Instrument Type - Send]&gt;</t>
        </r>
      </text>
    </comment>
    <comment ref="O189" authorId="1" shapeId="0" xr:uid="{00000000-0006-0000-2100-0000C0010000}">
      <text>
        <r>
          <rPr>
            <b/>
            <sz val="9"/>
            <color indexed="81"/>
            <rFont val="Tahoma"/>
            <family val="2"/>
          </rPr>
          <t>&lt;[[DEVDeals] - [Funding (Seq: 7)] Term - Send]&gt;</t>
        </r>
      </text>
    </comment>
    <comment ref="P189" authorId="1" shapeId="0" xr:uid="{00000000-0006-0000-2100-0000C1010000}">
      <text>
        <r>
          <rPr>
            <b/>
            <sz val="9"/>
            <color indexed="81"/>
            <rFont val="Tahoma"/>
            <family val="2"/>
          </rPr>
          <t>&lt;[[DEVDeals] - [Funding (Seq: 7)] Rate - Send]&gt;</t>
        </r>
      </text>
    </comment>
    <comment ref="Q189" authorId="1" shapeId="0" xr:uid="{00000000-0006-0000-2100-0000C2010000}">
      <text>
        <r>
          <rPr>
            <b/>
            <sz val="9"/>
            <color indexed="81"/>
            <rFont val="Tahoma"/>
            <family val="2"/>
          </rPr>
          <t>&lt;[[DEVDeals] - [Funding (Seq: 7)] Program Type - Send]&gt;</t>
        </r>
      </text>
    </comment>
    <comment ref="S189" authorId="1" shapeId="0" xr:uid="{00000000-0006-0000-2100-0000C3010000}">
      <text>
        <r>
          <rPr>
            <b/>
            <sz val="9"/>
            <color indexed="81"/>
            <rFont val="Tahoma"/>
            <family val="2"/>
          </rPr>
          <t>&lt;[[DEVDeals] - [Funding (Seq: 7)] Amount - Send]&gt;</t>
        </r>
      </text>
    </comment>
    <comment ref="V189" authorId="1" shapeId="0" xr:uid="{00000000-0006-0000-2100-0000C4010000}">
      <text>
        <r>
          <rPr>
            <b/>
            <sz val="9"/>
            <color indexed="81"/>
            <rFont val="Tahoma"/>
            <family val="2"/>
          </rPr>
          <t>&lt;[[DEVDeals] - [Associated TC Deal (Seq: 1)] - [TC Property Current Stage (Seq: 1)] - [Property Financing (Seq: 7)] Source Name - Send]&gt;</t>
        </r>
      </text>
    </comment>
    <comment ref="W189" authorId="1" shapeId="0" xr:uid="{00000000-0006-0000-2100-0000C5010000}">
      <text>
        <r>
          <rPr>
            <b/>
            <sz val="9"/>
            <color indexed="81"/>
            <rFont val="Tahoma"/>
            <family val="2"/>
          </rPr>
          <t>&lt;[[DEVDeals] - [Associated TC Deal (Seq: 1)] - [TC Property Current Stage (Seq: 1)] - [Property Financing (Seq: 7)] Financing Type - Send]&gt;</t>
        </r>
      </text>
    </comment>
    <comment ref="X189" authorId="1" shapeId="0" xr:uid="{00000000-0006-0000-2100-0000C6010000}">
      <text>
        <r>
          <rPr>
            <b/>
            <sz val="9"/>
            <color indexed="81"/>
            <rFont val="Tahoma"/>
            <family val="2"/>
          </rPr>
          <t>&lt;[[DEVDeals] - [Associated TC Deal (Seq: 1)] - [TC Property Current Stage (Seq: 1)] - [Property Financing (Seq: 7)] Amount - Send]&gt;</t>
        </r>
      </text>
    </comment>
    <comment ref="Y189" authorId="1" shapeId="0" xr:uid="{00000000-0006-0000-2100-0000C7010000}">
      <text>
        <r>
          <rPr>
            <b/>
            <sz val="9"/>
            <color indexed="81"/>
            <rFont val="Tahoma"/>
            <family val="2"/>
          </rPr>
          <t>&lt;[[DEVDeals] - [Associated TC Deal (Seq: 1)] - [TC Property Current Stage (Seq: 1)] - [Property Financing (Seq: 7)] Loan Term - Send]&gt;</t>
        </r>
      </text>
    </comment>
    <comment ref="Z189" authorId="1" shapeId="0" xr:uid="{00000000-0006-0000-2100-0000C8010000}">
      <text>
        <r>
          <rPr>
            <b/>
            <sz val="9"/>
            <color indexed="81"/>
            <rFont val="Tahoma"/>
            <family val="2"/>
          </rPr>
          <t>&lt;[[DEVDeals] - [Associated TC Deal (Seq: 1)] - [TC Property Current Stage (Seq: 1)] - [Property Financing (Seq: 7)] Interest Rate - Send]&gt;</t>
        </r>
      </text>
    </comment>
    <comment ref="AC189" authorId="1" shapeId="0" xr:uid="{00000000-0006-0000-2100-0000C9010000}">
      <text>
        <r>
          <rPr>
            <b/>
            <sz val="9"/>
            <color indexed="81"/>
            <rFont val="Tahoma"/>
            <family val="2"/>
          </rPr>
          <t>&lt;[[DEVDeals] - [Budget Initial (Seq: 1)] - [Budget Initial - User Defined Field Values (Seq: 1)] Sources - Source 7 Name CLC - Send]&gt;</t>
        </r>
      </text>
    </comment>
    <comment ref="AD189" authorId="1" shapeId="0" xr:uid="{00000000-0006-0000-2100-0000CA010000}">
      <text>
        <r>
          <rPr>
            <b/>
            <sz val="9"/>
            <color indexed="81"/>
            <rFont val="Tahoma"/>
            <family val="2"/>
          </rPr>
          <t>&lt;[[DEVDeals] - [Budget Initial (Seq: 1)] - [Budget Initial - User Defined Field Values (Seq: 1)] Sources - Source 7 CLC Amount - Send]&gt;</t>
        </r>
      </text>
    </comment>
    <comment ref="AE189" authorId="1" shapeId="0" xr:uid="{00000000-0006-0000-2100-0000CB010000}">
      <text>
        <r>
          <rPr>
            <b/>
            <sz val="9"/>
            <color indexed="81"/>
            <rFont val="Tahoma"/>
            <family val="2"/>
          </rPr>
          <t>&lt;[[DEVDeals] - [Budget Initial (Seq: 1)] - [Budget Initial - User Defined Field Values (Seq: 1)] Sources - Source 7 Name PLC - Send]&gt;</t>
        </r>
      </text>
    </comment>
    <comment ref="AF189" authorId="1" shapeId="0" xr:uid="{00000000-0006-0000-2100-0000CC010000}">
      <text>
        <r>
          <rPr>
            <b/>
            <sz val="9"/>
            <color indexed="81"/>
            <rFont val="Tahoma"/>
            <family val="2"/>
          </rPr>
          <t>&lt;[[DEVDeals] - [Budget Initial (Seq: 1)] - [Budget Initial - User Defined Field Values (Seq: 1)] Sources - Source 1 PLC Amount - Send]&gt;</t>
        </r>
      </text>
    </comment>
    <comment ref="M190" authorId="0" shapeId="0" xr:uid="{E19F2012-B208-48FC-9971-4470C18FEA0A}">
      <text>
        <r>
          <rPr>
            <b/>
            <sz val="9"/>
            <color indexed="81"/>
            <rFont val="Tahoma"/>
            <family val="2"/>
          </rPr>
          <t>&lt;[[DEVDeals] - [Funding (Seq: 7)] All DEV Funding Sources - Send]&gt;</t>
        </r>
      </text>
    </comment>
    <comment ref="N190" authorId="1" shapeId="0" xr:uid="{00000000-0006-0000-2100-0000CE010000}">
      <text>
        <r>
          <rPr>
            <b/>
            <sz val="9"/>
            <color indexed="81"/>
            <rFont val="Tahoma"/>
            <family val="2"/>
          </rPr>
          <t>&lt;[[DEVDeals] - [Funding (Seq: 8)] Instrument Type - Send]&gt;</t>
        </r>
      </text>
    </comment>
    <comment ref="O190" authorId="1" shapeId="0" xr:uid="{00000000-0006-0000-2100-0000CF010000}">
      <text>
        <r>
          <rPr>
            <b/>
            <sz val="9"/>
            <color indexed="81"/>
            <rFont val="Tahoma"/>
            <family val="2"/>
          </rPr>
          <t>&lt;[[DEVDeals] - [Funding (Seq: 8)] Term - Send]&gt;</t>
        </r>
      </text>
    </comment>
    <comment ref="P190" authorId="1" shapeId="0" xr:uid="{00000000-0006-0000-2100-0000D0010000}">
      <text>
        <r>
          <rPr>
            <b/>
            <sz val="9"/>
            <color indexed="81"/>
            <rFont val="Tahoma"/>
            <family val="2"/>
          </rPr>
          <t>&lt;[[DEVDeals] - [Funding (Seq: 8)] Rate - Send]&gt;</t>
        </r>
      </text>
    </comment>
    <comment ref="Q190" authorId="1" shapeId="0" xr:uid="{00000000-0006-0000-2100-0000D1010000}">
      <text>
        <r>
          <rPr>
            <b/>
            <sz val="9"/>
            <color indexed="81"/>
            <rFont val="Tahoma"/>
            <family val="2"/>
          </rPr>
          <t>&lt;[[DEVDeals] - [Funding (Seq: 8)] Program Type - Send]&gt;</t>
        </r>
      </text>
    </comment>
    <comment ref="S190" authorId="1" shapeId="0" xr:uid="{00000000-0006-0000-2100-0000D2010000}">
      <text>
        <r>
          <rPr>
            <b/>
            <sz val="9"/>
            <color indexed="81"/>
            <rFont val="Tahoma"/>
            <family val="2"/>
          </rPr>
          <t>&lt;[[DEVDeals] - [Funding (Seq: 7)] Amount - Send]&gt;</t>
        </r>
      </text>
    </comment>
    <comment ref="V190" authorId="1" shapeId="0" xr:uid="{00000000-0006-0000-2100-0000D3010000}">
      <text>
        <r>
          <rPr>
            <b/>
            <sz val="9"/>
            <color indexed="81"/>
            <rFont val="Tahoma"/>
            <family val="2"/>
          </rPr>
          <t>&lt;[[DEVDeals] - [Associated TC Deal (Seq: 1)] - [TC Property Current Stage (Seq: 1)] - [Property Financing (Seq: 8)] Source Name - Send]&gt;</t>
        </r>
      </text>
    </comment>
    <comment ref="W190" authorId="1" shapeId="0" xr:uid="{00000000-0006-0000-2100-0000D4010000}">
      <text>
        <r>
          <rPr>
            <b/>
            <sz val="9"/>
            <color indexed="81"/>
            <rFont val="Tahoma"/>
            <family val="2"/>
          </rPr>
          <t>&lt;[[DEVDeals] - [Associated TC Deal (Seq: 1)] - [TC Property Current Stage (Seq: 1)] - [Property Financing (Seq: 8)] Financing Type - Send]&gt;</t>
        </r>
      </text>
    </comment>
    <comment ref="X190" authorId="1" shapeId="0" xr:uid="{00000000-0006-0000-2100-0000D5010000}">
      <text>
        <r>
          <rPr>
            <b/>
            <sz val="9"/>
            <color indexed="81"/>
            <rFont val="Tahoma"/>
            <family val="2"/>
          </rPr>
          <t>&lt;[[DEVDeals] - [Associated TC Deal (Seq: 1)] - [TC Property Current Stage (Seq: 1)] - [Property Financing (Seq: 8)] Amount - Send]&gt;</t>
        </r>
      </text>
    </comment>
    <comment ref="Y190" authorId="1" shapeId="0" xr:uid="{00000000-0006-0000-2100-0000D6010000}">
      <text>
        <r>
          <rPr>
            <b/>
            <sz val="9"/>
            <color indexed="81"/>
            <rFont val="Tahoma"/>
            <family val="2"/>
          </rPr>
          <t>&lt;[[DEVDeals] - [Associated TC Deal (Seq: 1)] - [TC Property Current Stage (Seq: 1)] - [Property Financing (Seq: 8)] Loan Term - Send]&gt;</t>
        </r>
      </text>
    </comment>
    <comment ref="Z190" authorId="1" shapeId="0" xr:uid="{00000000-0006-0000-2100-0000D7010000}">
      <text>
        <r>
          <rPr>
            <b/>
            <sz val="9"/>
            <color indexed="81"/>
            <rFont val="Tahoma"/>
            <family val="2"/>
          </rPr>
          <t>&lt;[[DEVDeals] - [Associated TC Deal (Seq: 1)] - [TC Property Current Stage (Seq: 1)] - [Property Financing (Seq: 8)] Interest Rate - Send]&gt;</t>
        </r>
      </text>
    </comment>
    <comment ref="AC190" authorId="1" shapeId="0" xr:uid="{00000000-0006-0000-2100-0000D8010000}">
      <text>
        <r>
          <rPr>
            <b/>
            <sz val="9"/>
            <color indexed="81"/>
            <rFont val="Tahoma"/>
            <family val="2"/>
          </rPr>
          <t>&lt;[[DEVDeals] - [Budget Initial (Seq: 1)] - [Budget Initial - User Defined Field Values (Seq: 1)] Sources - Source 8 Name CLC - Send]&gt;</t>
        </r>
      </text>
    </comment>
    <comment ref="AD190" authorId="1" shapeId="0" xr:uid="{00000000-0006-0000-2100-0000D9010000}">
      <text>
        <r>
          <rPr>
            <b/>
            <sz val="9"/>
            <color indexed="81"/>
            <rFont val="Tahoma"/>
            <family val="2"/>
          </rPr>
          <t>&lt;[[DEVDeals] - [Budget Initial (Seq: 1)] - [Budget Initial - User Defined Field Values (Seq: 1)] Sources - Source 8 CLC Amount - Send]&gt;</t>
        </r>
      </text>
    </comment>
    <comment ref="AE190" authorId="1" shapeId="0" xr:uid="{00000000-0006-0000-2100-0000DA010000}">
      <text>
        <r>
          <rPr>
            <b/>
            <sz val="9"/>
            <color indexed="81"/>
            <rFont val="Tahoma"/>
            <family val="2"/>
          </rPr>
          <t>&lt;[[DEVDeals] - [Budget Initial (Seq: 1)] - [Budget Initial - User Defined Field Values (Seq: 1)] Sources - Source 8 Name PLC - Send]&gt;</t>
        </r>
      </text>
    </comment>
    <comment ref="AF190" authorId="1" shapeId="0" xr:uid="{00000000-0006-0000-2100-0000DB010000}">
      <text>
        <r>
          <rPr>
            <b/>
            <sz val="9"/>
            <color indexed="81"/>
            <rFont val="Tahoma"/>
            <family val="2"/>
          </rPr>
          <t>&lt;[[DEVDeals] - [Budget Initial (Seq: 1)] - [Budget Initial - User Defined Field Values (Seq: 1)] Sources - Source 1 PLC Amount - Send]&gt;</t>
        </r>
      </text>
    </comment>
    <comment ref="M191" authorId="0" shapeId="0" xr:uid="{4C3110EF-A8AF-41E9-A500-7FE98D1D715A}">
      <text>
        <r>
          <rPr>
            <b/>
            <sz val="9"/>
            <color indexed="81"/>
            <rFont val="Tahoma"/>
            <family val="2"/>
          </rPr>
          <t>&lt;[[DEVDeals] - [Funding (Seq: 7)] All DEV Funding Sources - Send]&gt;</t>
        </r>
      </text>
    </comment>
    <comment ref="N191" authorId="1" shapeId="0" xr:uid="{00000000-0006-0000-2100-0000DD010000}">
      <text>
        <r>
          <rPr>
            <b/>
            <sz val="9"/>
            <color indexed="81"/>
            <rFont val="Tahoma"/>
            <family val="2"/>
          </rPr>
          <t>&lt;[[DEVDeals] - [Funding (Seq: 9)] Instrument Type - Send]&gt;</t>
        </r>
      </text>
    </comment>
    <comment ref="O191" authorId="1" shapeId="0" xr:uid="{00000000-0006-0000-2100-0000DE010000}">
      <text>
        <r>
          <rPr>
            <b/>
            <sz val="9"/>
            <color indexed="81"/>
            <rFont val="Tahoma"/>
            <family val="2"/>
          </rPr>
          <t>&lt;[[DEVDeals] - [Funding (Seq: 9)] Term - Send]&gt;</t>
        </r>
      </text>
    </comment>
    <comment ref="P191" authorId="1" shapeId="0" xr:uid="{00000000-0006-0000-2100-0000DF010000}">
      <text>
        <r>
          <rPr>
            <b/>
            <sz val="9"/>
            <color indexed="81"/>
            <rFont val="Tahoma"/>
            <family val="2"/>
          </rPr>
          <t>&lt;[[DEVDeals] - [Funding (Seq: 9)] Rate - Send]&gt;</t>
        </r>
      </text>
    </comment>
    <comment ref="Q191" authorId="1" shapeId="0" xr:uid="{00000000-0006-0000-2100-0000E0010000}">
      <text>
        <r>
          <rPr>
            <b/>
            <sz val="9"/>
            <color indexed="81"/>
            <rFont val="Tahoma"/>
            <family val="2"/>
          </rPr>
          <t>&lt;[[DEVDeals] - [Funding (Seq: 9)] Program Type - Send]&gt;</t>
        </r>
      </text>
    </comment>
    <comment ref="S191" authorId="1" shapeId="0" xr:uid="{00000000-0006-0000-2100-0000E1010000}">
      <text>
        <r>
          <rPr>
            <b/>
            <sz val="9"/>
            <color indexed="81"/>
            <rFont val="Tahoma"/>
            <family val="2"/>
          </rPr>
          <t>&lt;[[DEVDeals] - [Funding (Seq: 7)] Amount - Send]&gt;</t>
        </r>
      </text>
    </comment>
    <comment ref="V191" authorId="1" shapeId="0" xr:uid="{00000000-0006-0000-2100-0000E2010000}">
      <text>
        <r>
          <rPr>
            <b/>
            <sz val="9"/>
            <color indexed="81"/>
            <rFont val="Tahoma"/>
            <family val="2"/>
          </rPr>
          <t>&lt;[[DEVDeals] - [Associated TC Deal (Seq: 1)] - [TC Property Current Stage (Seq: 1)] - [Property Financing (Seq: 9)] Source Name - Send]&gt;</t>
        </r>
      </text>
    </comment>
    <comment ref="W191" authorId="1" shapeId="0" xr:uid="{00000000-0006-0000-2100-0000E3010000}">
      <text>
        <r>
          <rPr>
            <b/>
            <sz val="9"/>
            <color indexed="81"/>
            <rFont val="Tahoma"/>
            <family val="2"/>
          </rPr>
          <t>&lt;[[DEVDeals] - [Associated TC Deal (Seq: 1)] - [TC Property Current Stage (Seq: 1)] - [Property Financing (Seq: 9)] Financing Type - Send]&gt;</t>
        </r>
      </text>
    </comment>
    <comment ref="X191" authorId="1" shapeId="0" xr:uid="{00000000-0006-0000-2100-0000E4010000}">
      <text>
        <r>
          <rPr>
            <b/>
            <sz val="9"/>
            <color indexed="81"/>
            <rFont val="Tahoma"/>
            <family val="2"/>
          </rPr>
          <t>&lt;[[DEVDeals] - [Associated TC Deal (Seq: 1)] - [TC Property Current Stage (Seq: 1)] - [Property Financing (Seq: 9)] Amount - Send]&gt;</t>
        </r>
      </text>
    </comment>
    <comment ref="Y191" authorId="1" shapeId="0" xr:uid="{00000000-0006-0000-2100-0000E5010000}">
      <text>
        <r>
          <rPr>
            <b/>
            <sz val="9"/>
            <color indexed="81"/>
            <rFont val="Tahoma"/>
            <family val="2"/>
          </rPr>
          <t>&lt;[[DEVDeals] - [Associated TC Deal (Seq: 1)] - [TC Property Current Stage (Seq: 1)] - [Property Financing (Seq: 9)] Loan Term - Send]&gt;</t>
        </r>
      </text>
    </comment>
    <comment ref="Z191" authorId="1" shapeId="0" xr:uid="{00000000-0006-0000-2100-0000E6010000}">
      <text>
        <r>
          <rPr>
            <b/>
            <sz val="9"/>
            <color indexed="81"/>
            <rFont val="Tahoma"/>
            <family val="2"/>
          </rPr>
          <t>&lt;[[DEVDeals] - [Associated TC Deal (Seq: 1)] - [TC Property Current Stage (Seq: 1)] - [Property Financing (Seq: 9)] Interest Rate - Send]&gt;</t>
        </r>
      </text>
    </comment>
    <comment ref="AC191" authorId="1" shapeId="0" xr:uid="{00000000-0006-0000-2100-0000E7010000}">
      <text>
        <r>
          <rPr>
            <b/>
            <sz val="9"/>
            <color indexed="81"/>
            <rFont val="Tahoma"/>
            <family val="2"/>
          </rPr>
          <t>&lt;[[DEVDeals] - [Budget Initial (Seq: 1)] - [Budget Initial - User Defined Field Values (Seq: 1)] Sources - Source 9 Name CLC - Send]&gt;</t>
        </r>
      </text>
    </comment>
    <comment ref="AD191" authorId="1" shapeId="0" xr:uid="{00000000-0006-0000-2100-0000E8010000}">
      <text>
        <r>
          <rPr>
            <b/>
            <sz val="9"/>
            <color indexed="81"/>
            <rFont val="Tahoma"/>
            <family val="2"/>
          </rPr>
          <t>&lt;[[DEVDeals] - [Budget Initial (Seq: 1)] - [Budget Initial - User Defined Field Values (Seq: 1)] Sources - Source 9 CLC Amount - Send]&gt;</t>
        </r>
      </text>
    </comment>
    <comment ref="AE191" authorId="1" shapeId="0" xr:uid="{00000000-0006-0000-2100-0000E9010000}">
      <text>
        <r>
          <rPr>
            <b/>
            <sz val="9"/>
            <color indexed="81"/>
            <rFont val="Tahoma"/>
            <family val="2"/>
          </rPr>
          <t>&lt;[[DEVDeals] - [Budget Initial (Seq: 1)] - [Budget Initial - User Defined Field Values (Seq: 1)] Sources - Source 9 Name PLC - Send]&gt;</t>
        </r>
      </text>
    </comment>
    <comment ref="AF191" authorId="1" shapeId="0" xr:uid="{00000000-0006-0000-2100-0000EA010000}">
      <text>
        <r>
          <rPr>
            <b/>
            <sz val="9"/>
            <color indexed="81"/>
            <rFont val="Tahoma"/>
            <family val="2"/>
          </rPr>
          <t>&lt;[[DEVDeals] - [Budget Initial (Seq: 1)] - [Budget Initial - User Defined Field Values (Seq: 1)] Sources - Source 1 PLC Amount - Send]&gt;</t>
        </r>
      </text>
    </comment>
    <comment ref="M192" authorId="0" shapeId="0" xr:uid="{00000000-0006-0000-2100-0000EB010000}">
      <text>
        <r>
          <rPr>
            <b/>
            <sz val="9"/>
            <color indexed="81"/>
            <rFont val="Tahoma"/>
            <family val="2"/>
          </rPr>
          <t>&lt;[[DEVDeals] - [Funding (Seq: 10)] All DEV Funding Sources - Send]&gt;</t>
        </r>
      </text>
    </comment>
    <comment ref="N192" authorId="1" shapeId="0" xr:uid="{00000000-0006-0000-2100-0000EC010000}">
      <text>
        <r>
          <rPr>
            <b/>
            <sz val="9"/>
            <color indexed="81"/>
            <rFont val="Tahoma"/>
            <family val="2"/>
          </rPr>
          <t>&lt;[[DEVDeals] - [Funding (Seq: 10)] Instrument Type - Send]&gt;</t>
        </r>
      </text>
    </comment>
    <comment ref="O192" authorId="1" shapeId="0" xr:uid="{00000000-0006-0000-2100-0000ED010000}">
      <text>
        <r>
          <rPr>
            <b/>
            <sz val="9"/>
            <color indexed="81"/>
            <rFont val="Tahoma"/>
            <family val="2"/>
          </rPr>
          <t>&lt;[[DEVDeals] - [Funding (Seq: 10)] Term - Send]&gt;</t>
        </r>
      </text>
    </comment>
    <comment ref="P192" authorId="1" shapeId="0" xr:uid="{00000000-0006-0000-2100-0000EE010000}">
      <text>
        <r>
          <rPr>
            <b/>
            <sz val="9"/>
            <color indexed="81"/>
            <rFont val="Tahoma"/>
            <family val="2"/>
          </rPr>
          <t>&lt;[[DEVDeals] - [Funding (Seq: 10)] Rate - Send]&gt;</t>
        </r>
      </text>
    </comment>
    <comment ref="Q192" authorId="1" shapeId="0" xr:uid="{00000000-0006-0000-2100-0000EF010000}">
      <text>
        <r>
          <rPr>
            <b/>
            <sz val="9"/>
            <color indexed="81"/>
            <rFont val="Tahoma"/>
            <family val="2"/>
          </rPr>
          <t>&lt;[[DEVDeals] - [Funding (Seq: 10)] Program Type - Send]&gt;</t>
        </r>
      </text>
    </comment>
    <comment ref="S192" authorId="1" shapeId="0" xr:uid="{00000000-0006-0000-2100-0000F0010000}">
      <text>
        <r>
          <rPr>
            <b/>
            <sz val="9"/>
            <color indexed="81"/>
            <rFont val="Tahoma"/>
            <family val="2"/>
          </rPr>
          <t>&lt;[[DEVDeals] - [Funding (Seq: 10)] Amount - Send]&gt;</t>
        </r>
      </text>
    </comment>
    <comment ref="V192" authorId="1" shapeId="0" xr:uid="{00000000-0006-0000-2100-0000F1010000}">
      <text>
        <r>
          <rPr>
            <b/>
            <sz val="9"/>
            <color indexed="81"/>
            <rFont val="Tahoma"/>
            <family val="2"/>
          </rPr>
          <t>&lt;[[DEVDeals] - [Associated TC Deal (Seq: 1)] - [TC Property Current Stage (Seq: 1)] - [Property Financing (Seq: 10)] Source Name - Send]&gt;</t>
        </r>
      </text>
    </comment>
    <comment ref="W192" authorId="1" shapeId="0" xr:uid="{00000000-0006-0000-2100-0000F2010000}">
      <text>
        <r>
          <rPr>
            <b/>
            <sz val="9"/>
            <color indexed="81"/>
            <rFont val="Tahoma"/>
            <family val="2"/>
          </rPr>
          <t>&lt;[[DEVDeals] - [Associated TC Deal (Seq: 1)] - [TC Property Current Stage (Seq: 1)] - [Property Financing (Seq: 10)] Financing Type - Send]&gt;</t>
        </r>
      </text>
    </comment>
    <comment ref="X192" authorId="1" shapeId="0" xr:uid="{00000000-0006-0000-2100-0000F3010000}">
      <text>
        <r>
          <rPr>
            <b/>
            <sz val="9"/>
            <color indexed="81"/>
            <rFont val="Tahoma"/>
            <family val="2"/>
          </rPr>
          <t>&lt;[[DEVDeals] - [Associated TC Deal (Seq: 1)] - [TC Property Current Stage (Seq: 1)] - [Property Financing (Seq: 10)] Amount - Send]&gt;</t>
        </r>
      </text>
    </comment>
    <comment ref="Y192" authorId="1" shapeId="0" xr:uid="{00000000-0006-0000-2100-0000F4010000}">
      <text>
        <r>
          <rPr>
            <b/>
            <sz val="9"/>
            <color indexed="81"/>
            <rFont val="Tahoma"/>
            <family val="2"/>
          </rPr>
          <t>&lt;[[DEVDeals] - [Associated TC Deal (Seq: 1)] - [TC Property Current Stage (Seq: 1)] - [Property Financing (Seq: 10)] Loan Term - Send]&gt;</t>
        </r>
      </text>
    </comment>
    <comment ref="Z192" authorId="1" shapeId="0" xr:uid="{00000000-0006-0000-2100-0000F5010000}">
      <text>
        <r>
          <rPr>
            <b/>
            <sz val="9"/>
            <color indexed="81"/>
            <rFont val="Tahoma"/>
            <family val="2"/>
          </rPr>
          <t>&lt;[[DEVDeals] - [Associated TC Deal (Seq: 1)] - [TC Property Current Stage (Seq: 1)] - [Property Financing (Seq: 10)] Interest Rate - Send]&gt;</t>
        </r>
      </text>
    </comment>
    <comment ref="AC192" authorId="1" shapeId="0" xr:uid="{00000000-0006-0000-2100-0000F6010000}">
      <text>
        <r>
          <rPr>
            <b/>
            <sz val="9"/>
            <color indexed="81"/>
            <rFont val="Tahoma"/>
            <family val="2"/>
          </rPr>
          <t>&lt;[[DEVDeals] - [Budget Initial (Seq: 1)] - [Budget Initial - User Defined Field Values (Seq: 1)] Sources - Source 10 Name CLC - Send]&gt;</t>
        </r>
      </text>
    </comment>
    <comment ref="AD192" authorId="1" shapeId="0" xr:uid="{00000000-0006-0000-2100-0000F7010000}">
      <text>
        <r>
          <rPr>
            <b/>
            <sz val="9"/>
            <color indexed="81"/>
            <rFont val="Tahoma"/>
            <family val="2"/>
          </rPr>
          <t>&lt;[[DEVDeals] - [Budget Initial (Seq: 1)] - [Budget Initial - User Defined Field Values (Seq: 1)] Sources - Source 10 CLC Amount - Send]&gt;</t>
        </r>
      </text>
    </comment>
    <comment ref="AE192" authorId="1" shapeId="0" xr:uid="{00000000-0006-0000-2100-0000F8010000}">
      <text>
        <r>
          <rPr>
            <b/>
            <sz val="9"/>
            <color indexed="81"/>
            <rFont val="Tahoma"/>
            <family val="2"/>
          </rPr>
          <t>&lt;[[DEVDeals] - [Budget Initial (Seq: 1)] - [Budget Initial - User Defined Field Values (Seq: 1)] Sources - Source 10 Name PLC - Send]&gt;</t>
        </r>
      </text>
    </comment>
    <comment ref="AF192" authorId="1" shapeId="0" xr:uid="{00000000-0006-0000-2100-0000F9010000}">
      <text>
        <r>
          <rPr>
            <b/>
            <sz val="9"/>
            <color indexed="81"/>
            <rFont val="Tahoma"/>
            <family val="2"/>
          </rPr>
          <t>&lt;[[DEVDeals] - [Budget Initial (Seq: 1)] - [Budget Initial - User Defined Field Values (Seq: 1)] Sources - Source 1 PLC Amount - Send]&gt;</t>
        </r>
      </text>
    </comment>
    <comment ref="M193" authorId="0" shapeId="0" xr:uid="{00000000-0006-0000-2100-0000FA010000}">
      <text>
        <r>
          <rPr>
            <b/>
            <sz val="9"/>
            <color indexed="81"/>
            <rFont val="Tahoma"/>
            <family val="2"/>
          </rPr>
          <t>&lt;[[DEVDeals] - [Funding (Seq: 11)] All DEV Funding Sources - Send]&gt;</t>
        </r>
      </text>
    </comment>
    <comment ref="N193" authorId="1" shapeId="0" xr:uid="{00000000-0006-0000-2100-0000FB010000}">
      <text>
        <r>
          <rPr>
            <b/>
            <sz val="9"/>
            <color indexed="81"/>
            <rFont val="Tahoma"/>
            <family val="2"/>
          </rPr>
          <t>&lt;[[DEVDeals] - [Funding (Seq: 11)] Instrument Type - Send]&gt;</t>
        </r>
      </text>
    </comment>
    <comment ref="O193" authorId="1" shapeId="0" xr:uid="{00000000-0006-0000-2100-0000FC010000}">
      <text>
        <r>
          <rPr>
            <b/>
            <sz val="9"/>
            <color indexed="81"/>
            <rFont val="Tahoma"/>
            <family val="2"/>
          </rPr>
          <t>&lt;[[DEVDeals] - [Funding (Seq: 11)] Term - Send]&gt;</t>
        </r>
      </text>
    </comment>
    <comment ref="P193" authorId="1" shapeId="0" xr:uid="{00000000-0006-0000-2100-0000FD010000}">
      <text>
        <r>
          <rPr>
            <b/>
            <sz val="9"/>
            <color indexed="81"/>
            <rFont val="Tahoma"/>
            <family val="2"/>
          </rPr>
          <t>&lt;[[DEVDeals] - [Funding (Seq: 11)] Rate - Send]&gt;</t>
        </r>
      </text>
    </comment>
    <comment ref="Q193" authorId="1" shapeId="0" xr:uid="{00000000-0006-0000-2100-0000FE010000}">
      <text>
        <r>
          <rPr>
            <b/>
            <sz val="9"/>
            <color indexed="81"/>
            <rFont val="Tahoma"/>
            <family val="2"/>
          </rPr>
          <t>&lt;[[DEVDeals] - [Funding (Seq: 11)] Program Type - Send]&gt;</t>
        </r>
      </text>
    </comment>
    <comment ref="S193" authorId="1" shapeId="0" xr:uid="{00000000-0006-0000-2100-0000FF010000}">
      <text>
        <r>
          <rPr>
            <b/>
            <sz val="9"/>
            <color indexed="81"/>
            <rFont val="Tahoma"/>
            <family val="2"/>
          </rPr>
          <t>&lt;[[DEVDeals] - [Funding (Seq: 10)] Amount - Send]&gt;</t>
        </r>
      </text>
    </comment>
    <comment ref="V193" authorId="1" shapeId="0" xr:uid="{00000000-0006-0000-2100-000000020000}">
      <text>
        <r>
          <rPr>
            <b/>
            <sz val="9"/>
            <color indexed="81"/>
            <rFont val="Tahoma"/>
            <family val="2"/>
          </rPr>
          <t>&lt;[[DEVDeals] - [Associated TC Deal (Seq: 1)] - [TC Property Current Stage (Seq: 1)] - [Property Financing (Seq: 11)] Source Name - Send]&gt;</t>
        </r>
      </text>
    </comment>
    <comment ref="W193" authorId="1" shapeId="0" xr:uid="{00000000-0006-0000-2100-000001020000}">
      <text>
        <r>
          <rPr>
            <b/>
            <sz val="9"/>
            <color indexed="81"/>
            <rFont val="Tahoma"/>
            <family val="2"/>
          </rPr>
          <t>&lt;[[DEVDeals] - [Associated TC Deal (Seq: 1)] - [TC Property Current Stage (Seq: 1)] - [Property Financing (Seq: 11)] Financing Type - Send]&gt;</t>
        </r>
      </text>
    </comment>
    <comment ref="X193" authorId="1" shapeId="0" xr:uid="{00000000-0006-0000-2100-000002020000}">
      <text>
        <r>
          <rPr>
            <b/>
            <sz val="9"/>
            <color indexed="81"/>
            <rFont val="Tahoma"/>
            <family val="2"/>
          </rPr>
          <t>&lt;[[DEVDeals] - [Associated TC Deal (Seq: 1)] - [TC Property Current Stage (Seq: 1)] - [Property Financing (Seq: 11)] Amount - Send]&gt;</t>
        </r>
      </text>
    </comment>
    <comment ref="Y193" authorId="1" shapeId="0" xr:uid="{00000000-0006-0000-2100-000003020000}">
      <text>
        <r>
          <rPr>
            <b/>
            <sz val="9"/>
            <color indexed="81"/>
            <rFont val="Tahoma"/>
            <family val="2"/>
          </rPr>
          <t>&lt;[[DEVDeals] - [Associated TC Deal (Seq: 1)] - [TC Property Current Stage (Seq: 1)] - [Property Financing (Seq: 11)] Loan Term - Send]&gt;</t>
        </r>
      </text>
    </comment>
    <comment ref="Z193" authorId="1" shapeId="0" xr:uid="{00000000-0006-0000-2100-000004020000}">
      <text>
        <r>
          <rPr>
            <b/>
            <sz val="9"/>
            <color indexed="81"/>
            <rFont val="Tahoma"/>
            <family val="2"/>
          </rPr>
          <t>&lt;[[DEVDeals] - [Associated TC Deal (Seq: 1)] - [TC Property Current Stage (Seq: 1)] - [Property Financing (Seq: 11)] Interest Rate - Send]&gt;</t>
        </r>
      </text>
    </comment>
    <comment ref="AC193" authorId="1" shapeId="0" xr:uid="{00000000-0006-0000-2100-000005020000}">
      <text>
        <r>
          <rPr>
            <b/>
            <sz val="9"/>
            <color indexed="81"/>
            <rFont val="Tahoma"/>
            <family val="2"/>
          </rPr>
          <t>&lt;[[DEVDeals] - [Budget Initial (Seq: 1)] - [Budget Initial - User Defined Field Values (Seq: 1)] Sources - Source 11 Name CLC - Send]&gt;</t>
        </r>
      </text>
    </comment>
    <comment ref="AD193" authorId="1" shapeId="0" xr:uid="{00000000-0006-0000-2100-000006020000}">
      <text>
        <r>
          <rPr>
            <b/>
            <sz val="9"/>
            <color indexed="81"/>
            <rFont val="Tahoma"/>
            <family val="2"/>
          </rPr>
          <t>&lt;[[DEVDeals] - [Budget Initial (Seq: 1)] - [Budget Initial - User Defined Field Values (Seq: 1)] Sources - Source 11 CLC Amount - Send]&gt;</t>
        </r>
      </text>
    </comment>
    <comment ref="AE193" authorId="1" shapeId="0" xr:uid="{00000000-0006-0000-2100-000007020000}">
      <text>
        <r>
          <rPr>
            <b/>
            <sz val="9"/>
            <color indexed="81"/>
            <rFont val="Tahoma"/>
            <family val="2"/>
          </rPr>
          <t>&lt;[[DEVDeals] - [Budget Initial (Seq: 1)] - [Budget Initial - User Defined Field Values (Seq: 1)] Sources - Source 11 Name PLC - Send]&gt;</t>
        </r>
      </text>
    </comment>
    <comment ref="AF193" authorId="1" shapeId="0" xr:uid="{00000000-0006-0000-2100-000008020000}">
      <text>
        <r>
          <rPr>
            <b/>
            <sz val="9"/>
            <color indexed="81"/>
            <rFont val="Tahoma"/>
            <family val="2"/>
          </rPr>
          <t>&lt;[[DEVDeals] - [Budget Initial (Seq: 1)] - [Budget Initial - User Defined Field Values (Seq: 1)] Sources - Source 1 PLC Amount - Send]&gt;</t>
        </r>
      </text>
    </comment>
    <comment ref="M194" authorId="0" shapeId="0" xr:uid="{00000000-0006-0000-2100-000009020000}">
      <text>
        <r>
          <rPr>
            <b/>
            <sz val="9"/>
            <color indexed="81"/>
            <rFont val="Tahoma"/>
            <family val="2"/>
          </rPr>
          <t>&lt;[[DEVDeals] - [Funding (Seq: 12)] All DEV Funding Sources - Send]&gt;</t>
        </r>
      </text>
    </comment>
    <comment ref="N194" authorId="1" shapeId="0" xr:uid="{00000000-0006-0000-2100-00000A020000}">
      <text>
        <r>
          <rPr>
            <b/>
            <sz val="9"/>
            <color indexed="81"/>
            <rFont val="Tahoma"/>
            <family val="2"/>
          </rPr>
          <t>&lt;[[DEVDeals] - [Funding (Seq: 12)] Instrument Type - Send]&gt;</t>
        </r>
      </text>
    </comment>
    <comment ref="O194" authorId="1" shapeId="0" xr:uid="{00000000-0006-0000-2100-00000B020000}">
      <text>
        <r>
          <rPr>
            <b/>
            <sz val="9"/>
            <color indexed="81"/>
            <rFont val="Tahoma"/>
            <family val="2"/>
          </rPr>
          <t>&lt;[[DEVDeals] - [Funding (Seq: 12)] Term - Send]&gt;</t>
        </r>
      </text>
    </comment>
    <comment ref="P194" authorId="1" shapeId="0" xr:uid="{00000000-0006-0000-2100-00000C020000}">
      <text>
        <r>
          <rPr>
            <b/>
            <sz val="9"/>
            <color indexed="81"/>
            <rFont val="Tahoma"/>
            <family val="2"/>
          </rPr>
          <t>&lt;[[DEVDeals] - [Funding (Seq: 12)] Rate - Send]&gt;</t>
        </r>
      </text>
    </comment>
    <comment ref="Q194" authorId="1" shapeId="0" xr:uid="{00000000-0006-0000-2100-00000D020000}">
      <text>
        <r>
          <rPr>
            <b/>
            <sz val="9"/>
            <color indexed="81"/>
            <rFont val="Tahoma"/>
            <family val="2"/>
          </rPr>
          <t>&lt;[[DEVDeals] - [Funding (Seq: 12)] Program Type - Send]&gt;</t>
        </r>
      </text>
    </comment>
    <comment ref="S194" authorId="1" shapeId="0" xr:uid="{00000000-0006-0000-2100-00000E020000}">
      <text>
        <r>
          <rPr>
            <b/>
            <sz val="9"/>
            <color indexed="81"/>
            <rFont val="Tahoma"/>
            <family val="2"/>
          </rPr>
          <t>&lt;[[DEVDeals] - [Funding (Seq: 10)] Amount - Send]&gt;</t>
        </r>
      </text>
    </comment>
    <comment ref="V194" authorId="1" shapeId="0" xr:uid="{00000000-0006-0000-2100-00000F020000}">
      <text>
        <r>
          <rPr>
            <b/>
            <sz val="9"/>
            <color indexed="81"/>
            <rFont val="Tahoma"/>
            <family val="2"/>
          </rPr>
          <t>&lt;[[DEVDeals] - [Associated TC Deal (Seq: 1)] - [TC Property Current Stage (Seq: 1)] - [Property Financing (Seq: 12)] Source Name - Send]&gt;</t>
        </r>
      </text>
    </comment>
    <comment ref="W194" authorId="1" shapeId="0" xr:uid="{00000000-0006-0000-2100-000010020000}">
      <text>
        <r>
          <rPr>
            <b/>
            <sz val="9"/>
            <color indexed="81"/>
            <rFont val="Tahoma"/>
            <family val="2"/>
          </rPr>
          <t>&lt;[[DEVDeals] - [Associated TC Deal (Seq: 1)] - [TC Property Current Stage (Seq: 1)] - [Property Financing (Seq: 12)] Financing Type - Send]&gt;</t>
        </r>
      </text>
    </comment>
    <comment ref="X194" authorId="1" shapeId="0" xr:uid="{00000000-0006-0000-2100-000011020000}">
      <text>
        <r>
          <rPr>
            <b/>
            <sz val="9"/>
            <color indexed="81"/>
            <rFont val="Tahoma"/>
            <family val="2"/>
          </rPr>
          <t>&lt;[[DEVDeals] - [Associated TC Deal (Seq: 1)] - [TC Property Current Stage (Seq: 1)] - [Property Financing (Seq: 12)] Amount - Send]&gt;</t>
        </r>
      </text>
    </comment>
    <comment ref="Y194" authorId="1" shapeId="0" xr:uid="{00000000-0006-0000-2100-000012020000}">
      <text>
        <r>
          <rPr>
            <b/>
            <sz val="9"/>
            <color indexed="81"/>
            <rFont val="Tahoma"/>
            <family val="2"/>
          </rPr>
          <t>&lt;[[DEVDeals] - [Associated TC Deal (Seq: 1)] - [TC Property Current Stage (Seq: 1)] - [Property Financing (Seq: 12)] Loan Term - Send]&gt;</t>
        </r>
      </text>
    </comment>
    <comment ref="Z194" authorId="1" shapeId="0" xr:uid="{00000000-0006-0000-2100-000013020000}">
      <text>
        <r>
          <rPr>
            <b/>
            <sz val="9"/>
            <color indexed="81"/>
            <rFont val="Tahoma"/>
            <family val="2"/>
          </rPr>
          <t>&lt;[[DEVDeals] - [Associated TC Deal (Seq: 1)] - [TC Property Current Stage (Seq: 1)] - [Property Financing (Seq: 12)] Interest Rate - Send]&gt;</t>
        </r>
      </text>
    </comment>
    <comment ref="AC194" authorId="1" shapeId="0" xr:uid="{00000000-0006-0000-2100-000014020000}">
      <text>
        <r>
          <rPr>
            <b/>
            <sz val="9"/>
            <color indexed="81"/>
            <rFont val="Tahoma"/>
            <family val="2"/>
          </rPr>
          <t>&lt;[[DEVDeals] - [Budget Initial (Seq: 1)] - [Budget Initial - User Defined Field Values (Seq: 1)] Sources - Source 12 Name CLC - Send]&gt;</t>
        </r>
      </text>
    </comment>
    <comment ref="AD194" authorId="1" shapeId="0" xr:uid="{00000000-0006-0000-2100-000015020000}">
      <text>
        <r>
          <rPr>
            <b/>
            <sz val="9"/>
            <color indexed="81"/>
            <rFont val="Tahoma"/>
            <family val="2"/>
          </rPr>
          <t>&lt;[[DEVDeals] - [Budget Initial (Seq: 1)] - [Budget Initial - User Defined Field Values (Seq: 1)] Sources - Source 12 CLC Amount - Send]&gt;</t>
        </r>
      </text>
    </comment>
    <comment ref="AE194" authorId="1" shapeId="0" xr:uid="{00000000-0006-0000-2100-000016020000}">
      <text>
        <r>
          <rPr>
            <b/>
            <sz val="9"/>
            <color indexed="81"/>
            <rFont val="Tahoma"/>
            <family val="2"/>
          </rPr>
          <t>&lt;[[DEVDeals] - [Budget Initial (Seq: 1)] - [Budget Initial - User Defined Field Values (Seq: 1)] Sources - Source 12 Name PLC - Send]&gt;</t>
        </r>
      </text>
    </comment>
    <comment ref="AF194" authorId="1" shapeId="0" xr:uid="{00000000-0006-0000-2100-000017020000}">
      <text>
        <r>
          <rPr>
            <b/>
            <sz val="9"/>
            <color indexed="81"/>
            <rFont val="Tahoma"/>
            <family val="2"/>
          </rPr>
          <t>&lt;[[DEVDeals] - [Budget Initial (Seq: 1)] - [Budget Initial - User Defined Field Values (Seq: 1)] Sources - Source 1 PLC Amount - Send]&gt;</t>
        </r>
      </text>
    </comment>
    <comment ref="M195" authorId="0" shapeId="0" xr:uid="{00000000-0006-0000-2100-000018020000}">
      <text>
        <r>
          <rPr>
            <b/>
            <sz val="9"/>
            <color indexed="81"/>
            <rFont val="Tahoma"/>
            <family val="2"/>
          </rPr>
          <t>&lt;[[DEVDeals] - [Funding (Seq: 13)] All DEV Funding Sources - Send]&gt;</t>
        </r>
      </text>
    </comment>
    <comment ref="N195" authorId="1" shapeId="0" xr:uid="{00000000-0006-0000-2100-000019020000}">
      <text>
        <r>
          <rPr>
            <b/>
            <sz val="9"/>
            <color indexed="81"/>
            <rFont val="Tahoma"/>
            <family val="2"/>
          </rPr>
          <t>&lt;[[DEVDeals] - [Funding (Seq: 13)] Instrument Type - Send]&gt;</t>
        </r>
      </text>
    </comment>
    <comment ref="O195" authorId="1" shapeId="0" xr:uid="{00000000-0006-0000-2100-00001A020000}">
      <text>
        <r>
          <rPr>
            <b/>
            <sz val="9"/>
            <color indexed="81"/>
            <rFont val="Tahoma"/>
            <family val="2"/>
          </rPr>
          <t>&lt;[[DEVDeals] - [Funding (Seq: 13)] Term - Send]&gt;</t>
        </r>
      </text>
    </comment>
    <comment ref="P195" authorId="1" shapeId="0" xr:uid="{00000000-0006-0000-2100-00001B020000}">
      <text>
        <r>
          <rPr>
            <b/>
            <sz val="9"/>
            <color indexed="81"/>
            <rFont val="Tahoma"/>
            <family val="2"/>
          </rPr>
          <t>&lt;[[DEVDeals] - [Funding (Seq: 13)] Rate - Send]&gt;</t>
        </r>
      </text>
    </comment>
    <comment ref="Q195" authorId="1" shapeId="0" xr:uid="{00000000-0006-0000-2100-00001C020000}">
      <text>
        <r>
          <rPr>
            <b/>
            <sz val="9"/>
            <color indexed="81"/>
            <rFont val="Tahoma"/>
            <family val="2"/>
          </rPr>
          <t>&lt;[[DEVDeals] - [Funding (Seq: 13)] Program Type - Send]&gt;</t>
        </r>
      </text>
    </comment>
    <comment ref="S195" authorId="1" shapeId="0" xr:uid="{00000000-0006-0000-2100-00001D020000}">
      <text>
        <r>
          <rPr>
            <b/>
            <sz val="9"/>
            <color indexed="81"/>
            <rFont val="Tahoma"/>
            <family val="2"/>
          </rPr>
          <t>&lt;[[DEVDeals] - [Funding (Seq: 13)] Amount - Send]&gt;</t>
        </r>
      </text>
    </comment>
    <comment ref="V195" authorId="1" shapeId="0" xr:uid="{00000000-0006-0000-2100-00001E020000}">
      <text>
        <r>
          <rPr>
            <b/>
            <sz val="9"/>
            <color indexed="81"/>
            <rFont val="Tahoma"/>
            <family val="2"/>
          </rPr>
          <t>&lt;[[DEVDeals] - [Associated TC Deal (Seq: 1)] - [TC Property Current Stage (Seq: 1)] - [Property Financing (Seq: 13)] Source Name - Send]&gt;</t>
        </r>
      </text>
    </comment>
    <comment ref="W195" authorId="1" shapeId="0" xr:uid="{00000000-0006-0000-2100-00001F020000}">
      <text>
        <r>
          <rPr>
            <b/>
            <sz val="9"/>
            <color indexed="81"/>
            <rFont val="Tahoma"/>
            <family val="2"/>
          </rPr>
          <t>&lt;[[DEVDeals] - [Associated TC Deal (Seq: 1)] - [TC Property Current Stage (Seq: 1)] - [Property Financing (Seq: 13)] Financing Type - Send]&gt;</t>
        </r>
      </text>
    </comment>
    <comment ref="X195" authorId="1" shapeId="0" xr:uid="{00000000-0006-0000-2100-000020020000}">
      <text>
        <r>
          <rPr>
            <b/>
            <sz val="9"/>
            <color indexed="81"/>
            <rFont val="Tahoma"/>
            <family val="2"/>
          </rPr>
          <t>&lt;[[DEVDeals] - [Associated TC Deal (Seq: 1)] - [TC Property Current Stage (Seq: 1)] - [Property Financing (Seq: 13)] Amount - Send]&gt;</t>
        </r>
      </text>
    </comment>
    <comment ref="Y195" authorId="1" shapeId="0" xr:uid="{00000000-0006-0000-2100-000021020000}">
      <text>
        <r>
          <rPr>
            <b/>
            <sz val="9"/>
            <color indexed="81"/>
            <rFont val="Tahoma"/>
            <family val="2"/>
          </rPr>
          <t>&lt;[[DEVDeals] - [Associated TC Deal (Seq: 1)] - [TC Property Current Stage (Seq: 1)] - [Property Financing (Seq: 13)] Loan Term - Send]&gt;</t>
        </r>
      </text>
    </comment>
    <comment ref="Z195" authorId="1" shapeId="0" xr:uid="{00000000-0006-0000-2100-000022020000}">
      <text>
        <r>
          <rPr>
            <b/>
            <sz val="9"/>
            <color indexed="81"/>
            <rFont val="Tahoma"/>
            <family val="2"/>
          </rPr>
          <t>&lt;[[DEVDeals] - [Associated TC Deal (Seq: 1)] - [TC Property Current Stage (Seq: 1)] - [Property Financing (Seq: 13)] Interest Rate - Send]&gt;</t>
        </r>
      </text>
    </comment>
    <comment ref="AC195" authorId="1" shapeId="0" xr:uid="{00000000-0006-0000-2100-000023020000}">
      <text>
        <r>
          <rPr>
            <b/>
            <sz val="9"/>
            <color indexed="81"/>
            <rFont val="Tahoma"/>
            <family val="2"/>
          </rPr>
          <t>&lt;[[DEVDeals] - [Budget Initial (Seq: 1)] - [Budget Initial - User Defined Field Values (Seq: 1)] Sources - Source 13 Name CLC - Send]&gt;</t>
        </r>
      </text>
    </comment>
    <comment ref="AD195" authorId="1" shapeId="0" xr:uid="{00000000-0006-0000-2100-000024020000}">
      <text>
        <r>
          <rPr>
            <b/>
            <sz val="9"/>
            <color indexed="81"/>
            <rFont val="Tahoma"/>
            <family val="2"/>
          </rPr>
          <t>&lt;[[DEVDeals] - [Budget Initial (Seq: 1)] - [Budget Initial - User Defined Field Values (Seq: 1)] Sources - Source 13 CLC Amount - Send]&gt;</t>
        </r>
      </text>
    </comment>
    <comment ref="AE195" authorId="1" shapeId="0" xr:uid="{00000000-0006-0000-2100-000025020000}">
      <text>
        <r>
          <rPr>
            <b/>
            <sz val="9"/>
            <color indexed="81"/>
            <rFont val="Tahoma"/>
            <family val="2"/>
          </rPr>
          <t>&lt;[[DEVDeals] - [Budget Initial (Seq: 1)] - [Budget Initial - User Defined Field Values (Seq: 1)] Sources - Source 13 Name PLC - Send]&gt;</t>
        </r>
      </text>
    </comment>
    <comment ref="AF195" authorId="1" shapeId="0" xr:uid="{00000000-0006-0000-2100-000026020000}">
      <text>
        <r>
          <rPr>
            <b/>
            <sz val="9"/>
            <color indexed="81"/>
            <rFont val="Tahoma"/>
            <family val="2"/>
          </rPr>
          <t>&lt;[[DEVDeals] - [Budget Initial (Seq: 1)] - [Budget Initial - User Defined Field Values (Seq: 1)] Sources - Source 1 PLC Amount - Send]&gt;</t>
        </r>
      </text>
    </comment>
    <comment ref="M196" authorId="0" shapeId="0" xr:uid="{00000000-0006-0000-2100-000027020000}">
      <text>
        <r>
          <rPr>
            <b/>
            <sz val="9"/>
            <color indexed="81"/>
            <rFont val="Tahoma"/>
            <family val="2"/>
          </rPr>
          <t>&lt;[[DEVDeals] - [Funding (Seq: 14)] All DEV Funding Sources - Send]&gt;</t>
        </r>
      </text>
    </comment>
    <comment ref="N196" authorId="1" shapeId="0" xr:uid="{00000000-0006-0000-2100-000028020000}">
      <text>
        <r>
          <rPr>
            <b/>
            <sz val="9"/>
            <color indexed="81"/>
            <rFont val="Tahoma"/>
            <family val="2"/>
          </rPr>
          <t>&lt;[[DEVDeals] - [Funding (Seq: 14)] Instrument Type - Send]&gt;</t>
        </r>
      </text>
    </comment>
    <comment ref="O196" authorId="1" shapeId="0" xr:uid="{00000000-0006-0000-2100-000029020000}">
      <text>
        <r>
          <rPr>
            <b/>
            <sz val="9"/>
            <color indexed="81"/>
            <rFont val="Tahoma"/>
            <family val="2"/>
          </rPr>
          <t>&lt;[[DEVDeals] - [Funding (Seq: 14)] Term - Send]&gt;</t>
        </r>
      </text>
    </comment>
    <comment ref="P196" authorId="1" shapeId="0" xr:uid="{00000000-0006-0000-2100-00002A020000}">
      <text>
        <r>
          <rPr>
            <b/>
            <sz val="9"/>
            <color indexed="81"/>
            <rFont val="Tahoma"/>
            <family val="2"/>
          </rPr>
          <t>&lt;[[DEVDeals] - [Funding (Seq: 14)] Rate - Send]&gt;</t>
        </r>
      </text>
    </comment>
    <comment ref="Q196" authorId="1" shapeId="0" xr:uid="{00000000-0006-0000-2100-00002B020000}">
      <text>
        <r>
          <rPr>
            <b/>
            <sz val="9"/>
            <color indexed="81"/>
            <rFont val="Tahoma"/>
            <family val="2"/>
          </rPr>
          <t>&lt;[[DEVDeals] - [Funding (Seq: 14)] Program Type - Send]&gt;</t>
        </r>
      </text>
    </comment>
    <comment ref="S196" authorId="1" shapeId="0" xr:uid="{00000000-0006-0000-2100-00002C020000}">
      <text>
        <r>
          <rPr>
            <b/>
            <sz val="9"/>
            <color indexed="81"/>
            <rFont val="Tahoma"/>
            <family val="2"/>
          </rPr>
          <t>&lt;[[DEVDeals] - [Funding (Seq: 13)] Amount - Send]&gt;</t>
        </r>
      </text>
    </comment>
    <comment ref="V196" authorId="1" shapeId="0" xr:uid="{00000000-0006-0000-2100-00002D020000}">
      <text>
        <r>
          <rPr>
            <b/>
            <sz val="9"/>
            <color indexed="81"/>
            <rFont val="Tahoma"/>
            <family val="2"/>
          </rPr>
          <t>&lt;[[DEVDeals] - [Associated TC Deal (Seq: 1)] - [TC Property Current Stage (Seq: 1)] - [Property Financing (Seq: 14)] Source Name - Send]&gt;</t>
        </r>
      </text>
    </comment>
    <comment ref="W196" authorId="1" shapeId="0" xr:uid="{00000000-0006-0000-2100-00002E020000}">
      <text>
        <r>
          <rPr>
            <b/>
            <sz val="9"/>
            <color indexed="81"/>
            <rFont val="Tahoma"/>
            <family val="2"/>
          </rPr>
          <t>&lt;[[DEVDeals] - [Associated TC Deal (Seq: 1)] - [TC Property Current Stage (Seq: 1)] - [Property Financing (Seq: 14)] Financing Type - Send]&gt;</t>
        </r>
      </text>
    </comment>
    <comment ref="X196" authorId="1" shapeId="0" xr:uid="{00000000-0006-0000-2100-00002F020000}">
      <text>
        <r>
          <rPr>
            <b/>
            <sz val="9"/>
            <color indexed="81"/>
            <rFont val="Tahoma"/>
            <family val="2"/>
          </rPr>
          <t>&lt;[[DEVDeals] - [Associated TC Deal (Seq: 1)] - [TC Property Current Stage (Seq: 1)] - [Property Financing (Seq: 14)] Amount - Send]&gt;</t>
        </r>
      </text>
    </comment>
    <comment ref="Y196" authorId="1" shapeId="0" xr:uid="{00000000-0006-0000-2100-000030020000}">
      <text>
        <r>
          <rPr>
            <b/>
            <sz val="9"/>
            <color indexed="81"/>
            <rFont val="Tahoma"/>
            <family val="2"/>
          </rPr>
          <t>&lt;[[DEVDeals] - [Associated TC Deal (Seq: 1)] - [TC Property Current Stage (Seq: 1)] - [Property Financing (Seq: 14)] Loan Term - Send]&gt;</t>
        </r>
      </text>
    </comment>
    <comment ref="Z196" authorId="1" shapeId="0" xr:uid="{00000000-0006-0000-2100-000031020000}">
      <text>
        <r>
          <rPr>
            <b/>
            <sz val="9"/>
            <color indexed="81"/>
            <rFont val="Tahoma"/>
            <family val="2"/>
          </rPr>
          <t>&lt;[[DEVDeals] - [Associated TC Deal (Seq: 1)] - [TC Property Current Stage (Seq: 1)] - [Property Financing (Seq: 14)] Interest Rate - Send]&gt;</t>
        </r>
      </text>
    </comment>
    <comment ref="AC196" authorId="1" shapeId="0" xr:uid="{00000000-0006-0000-2100-000032020000}">
      <text>
        <r>
          <rPr>
            <b/>
            <sz val="9"/>
            <color indexed="81"/>
            <rFont val="Tahoma"/>
            <family val="2"/>
          </rPr>
          <t>&lt;[[DEVDeals] - [Budget Initial (Seq: 1)] - [Budget Initial - User Defined Field Values (Seq: 1)] Sources - Source 14 Name CLC - Send]&gt;</t>
        </r>
      </text>
    </comment>
    <comment ref="AD196" authorId="1" shapeId="0" xr:uid="{00000000-0006-0000-2100-000033020000}">
      <text>
        <r>
          <rPr>
            <b/>
            <sz val="9"/>
            <color indexed="81"/>
            <rFont val="Tahoma"/>
            <family val="2"/>
          </rPr>
          <t>&lt;[[DEVDeals] - [Budget Initial (Seq: 1)] - [Budget Initial - User Defined Field Values (Seq: 1)] Sources - Source 14 CLC Amount - Send]&gt;</t>
        </r>
      </text>
    </comment>
    <comment ref="AE196" authorId="1" shapeId="0" xr:uid="{00000000-0006-0000-2100-000034020000}">
      <text>
        <r>
          <rPr>
            <b/>
            <sz val="9"/>
            <color indexed="81"/>
            <rFont val="Tahoma"/>
            <family val="2"/>
          </rPr>
          <t>&lt;[[DEVDeals] - [Budget Initial (Seq: 1)] - [Budget Initial - User Defined Field Values (Seq: 1)] Sources - Source 14 Name PLC - Send]&gt;</t>
        </r>
      </text>
    </comment>
    <comment ref="AF196" authorId="1" shapeId="0" xr:uid="{00000000-0006-0000-2100-000035020000}">
      <text>
        <r>
          <rPr>
            <b/>
            <sz val="9"/>
            <color indexed="81"/>
            <rFont val="Tahoma"/>
            <family val="2"/>
          </rPr>
          <t>&lt;[[DEVDeals] - [Budget Initial (Seq: 1)] - [Budget Initial - User Defined Field Values (Seq: 1)] Sources - Source 1 PLC Amount - Send]&gt;</t>
        </r>
      </text>
    </comment>
    <comment ref="M197" authorId="0" shapeId="0" xr:uid="{00000000-0006-0000-2100-000036020000}">
      <text>
        <r>
          <rPr>
            <b/>
            <sz val="9"/>
            <color indexed="81"/>
            <rFont val="Tahoma"/>
            <family val="2"/>
          </rPr>
          <t>&lt;[[DEVDeals] - [Funding (Seq: 15)] All DEV Funding Sources - Send]&gt;</t>
        </r>
      </text>
    </comment>
    <comment ref="N197" authorId="1" shapeId="0" xr:uid="{00000000-0006-0000-2100-000037020000}">
      <text>
        <r>
          <rPr>
            <b/>
            <sz val="9"/>
            <color indexed="81"/>
            <rFont val="Tahoma"/>
            <family val="2"/>
          </rPr>
          <t>&lt;[[DEVDeals] - [Funding (Seq: 15)] Instrument Type - Send]&gt;</t>
        </r>
      </text>
    </comment>
    <comment ref="O197" authorId="1" shapeId="0" xr:uid="{00000000-0006-0000-2100-000038020000}">
      <text>
        <r>
          <rPr>
            <b/>
            <sz val="9"/>
            <color indexed="81"/>
            <rFont val="Tahoma"/>
            <family val="2"/>
          </rPr>
          <t>&lt;[[DEVDeals] - [Funding (Seq: 15)] Term - Send]&gt;</t>
        </r>
      </text>
    </comment>
    <comment ref="P197" authorId="1" shapeId="0" xr:uid="{00000000-0006-0000-2100-000039020000}">
      <text>
        <r>
          <rPr>
            <b/>
            <sz val="9"/>
            <color indexed="81"/>
            <rFont val="Tahoma"/>
            <family val="2"/>
          </rPr>
          <t>&lt;[[DEVDeals] - [Funding (Seq: 15)] Rate - Send]&gt;</t>
        </r>
      </text>
    </comment>
    <comment ref="Q197" authorId="1" shapeId="0" xr:uid="{00000000-0006-0000-2100-00003A020000}">
      <text>
        <r>
          <rPr>
            <b/>
            <sz val="9"/>
            <color indexed="81"/>
            <rFont val="Tahoma"/>
            <family val="2"/>
          </rPr>
          <t>&lt;[[DEVDeals] - [Funding (Seq: 15)] Program Type - Send]&gt;</t>
        </r>
      </text>
    </comment>
    <comment ref="S197" authorId="1" shapeId="0" xr:uid="{00000000-0006-0000-2100-00003B020000}">
      <text>
        <r>
          <rPr>
            <b/>
            <sz val="9"/>
            <color indexed="81"/>
            <rFont val="Tahoma"/>
            <family val="2"/>
          </rPr>
          <t>&lt;[[DEVDeals] - [Funding (Seq: 13)] Amount - Send]&gt;</t>
        </r>
      </text>
    </comment>
    <comment ref="V197" authorId="1" shapeId="0" xr:uid="{00000000-0006-0000-2100-00003C020000}">
      <text>
        <r>
          <rPr>
            <b/>
            <sz val="9"/>
            <color indexed="81"/>
            <rFont val="Tahoma"/>
            <family val="2"/>
          </rPr>
          <t>&lt;[[DEVDeals] - [Associated TC Deal (Seq: 1)] - [TC Property Current Stage (Seq: 1)] - [Property Financing (Seq: 15)] Source Name - Send]&gt;</t>
        </r>
      </text>
    </comment>
    <comment ref="W197" authorId="1" shapeId="0" xr:uid="{00000000-0006-0000-2100-00003D020000}">
      <text>
        <r>
          <rPr>
            <b/>
            <sz val="9"/>
            <color indexed="81"/>
            <rFont val="Tahoma"/>
            <family val="2"/>
          </rPr>
          <t>&lt;[[DEVDeals] - [Associated TC Deal (Seq: 1)] - [TC Property Current Stage (Seq: 1)] - [Property Financing (Seq: 15)] Financing Type - Send]&gt;</t>
        </r>
      </text>
    </comment>
    <comment ref="X197" authorId="1" shapeId="0" xr:uid="{00000000-0006-0000-2100-00003E020000}">
      <text>
        <r>
          <rPr>
            <b/>
            <sz val="9"/>
            <color indexed="81"/>
            <rFont val="Tahoma"/>
            <family val="2"/>
          </rPr>
          <t>&lt;[[DEVDeals] - [Associated TC Deal (Seq: 1)] - [TC Property Current Stage (Seq: 1)] - [Property Financing (Seq: 15)] Amount - Send]&gt;</t>
        </r>
      </text>
    </comment>
    <comment ref="Y197" authorId="1" shapeId="0" xr:uid="{00000000-0006-0000-2100-00003F020000}">
      <text>
        <r>
          <rPr>
            <b/>
            <sz val="9"/>
            <color indexed="81"/>
            <rFont val="Tahoma"/>
            <family val="2"/>
          </rPr>
          <t>&lt;[[DEVDeals] - [Associated TC Deal (Seq: 1)] - [TC Property Current Stage (Seq: 1)] - [Property Financing (Seq: 15)] Loan Term - Send]&gt;</t>
        </r>
      </text>
    </comment>
    <comment ref="Z197" authorId="1" shapeId="0" xr:uid="{00000000-0006-0000-2100-000040020000}">
      <text>
        <r>
          <rPr>
            <b/>
            <sz val="9"/>
            <color indexed="81"/>
            <rFont val="Tahoma"/>
            <family val="2"/>
          </rPr>
          <t>&lt;[[DEVDeals] - [Associated TC Deal (Seq: 1)] - [TC Property Current Stage (Seq: 1)] - [Property Financing (Seq: 15)] Interest Rate - Send]&gt;</t>
        </r>
      </text>
    </comment>
    <comment ref="AC197" authorId="1" shapeId="0" xr:uid="{00000000-0006-0000-2100-000041020000}">
      <text>
        <r>
          <rPr>
            <b/>
            <sz val="9"/>
            <color indexed="81"/>
            <rFont val="Tahoma"/>
            <family val="2"/>
          </rPr>
          <t>&lt;[[DEVDeals] - [Budget Initial (Seq: 1)] - [Budget Initial - User Defined Field Values (Seq: 1)] Sources - Source 15 Name CLC - Send]&gt;</t>
        </r>
      </text>
    </comment>
    <comment ref="AD197" authorId="1" shapeId="0" xr:uid="{00000000-0006-0000-2100-000042020000}">
      <text>
        <r>
          <rPr>
            <b/>
            <sz val="9"/>
            <color indexed="81"/>
            <rFont val="Tahoma"/>
            <family val="2"/>
          </rPr>
          <t>&lt;[[DEVDeals] - [Budget Initial (Seq: 1)] - [Budget Initial - User Defined Field Values (Seq: 1)] Sources - Source 15 CLC Amount - Send]&gt;</t>
        </r>
      </text>
    </comment>
    <comment ref="AE197" authorId="1" shapeId="0" xr:uid="{00000000-0006-0000-2100-000043020000}">
      <text>
        <r>
          <rPr>
            <b/>
            <sz val="9"/>
            <color indexed="81"/>
            <rFont val="Tahoma"/>
            <family val="2"/>
          </rPr>
          <t>&lt;[[DEVDeals] - [Budget Initial (Seq: 1)] - [Budget Initial - User Defined Field Values (Seq: 1)] Sources - Source 15 Name PLC - Send]&gt;</t>
        </r>
      </text>
    </comment>
    <comment ref="AF197" authorId="1" shapeId="0" xr:uid="{00000000-0006-0000-2100-000044020000}">
      <text>
        <r>
          <rPr>
            <b/>
            <sz val="9"/>
            <color indexed="81"/>
            <rFont val="Tahoma"/>
            <family val="2"/>
          </rPr>
          <t>&lt;[[DEVDeals] - [Budget Initial (Seq: 1)] - [Budget Initial - User Defined Field Values (Seq: 1)] Sources - Source 1 PLC Amount - Send]&gt;</t>
        </r>
      </text>
    </comment>
    <comment ref="M198" authorId="0" shapeId="0" xr:uid="{00000000-0006-0000-2100-000045020000}">
      <text>
        <r>
          <rPr>
            <b/>
            <sz val="9"/>
            <color indexed="81"/>
            <rFont val="Tahoma"/>
            <family val="2"/>
          </rPr>
          <t>&lt;[[DEVDeals] - [Funding (Seq: 16)] All DEV Funding Sources - Send]&gt;</t>
        </r>
      </text>
    </comment>
    <comment ref="N198" authorId="1" shapeId="0" xr:uid="{00000000-0006-0000-2100-000046020000}">
      <text>
        <r>
          <rPr>
            <b/>
            <sz val="9"/>
            <color indexed="81"/>
            <rFont val="Tahoma"/>
            <family val="2"/>
          </rPr>
          <t>&lt;[[DEVDeals] - [Funding (Seq: 16)] Instrument Type - Send]&gt;</t>
        </r>
      </text>
    </comment>
    <comment ref="O198" authorId="1" shapeId="0" xr:uid="{00000000-0006-0000-2100-000047020000}">
      <text>
        <r>
          <rPr>
            <b/>
            <sz val="9"/>
            <color indexed="81"/>
            <rFont val="Tahoma"/>
            <family val="2"/>
          </rPr>
          <t>&lt;[[DEVDeals] - [Funding (Seq: 16)] Term - Send]&gt;</t>
        </r>
      </text>
    </comment>
    <comment ref="P198" authorId="1" shapeId="0" xr:uid="{00000000-0006-0000-2100-000048020000}">
      <text>
        <r>
          <rPr>
            <b/>
            <sz val="9"/>
            <color indexed="81"/>
            <rFont val="Tahoma"/>
            <family val="2"/>
          </rPr>
          <t>&lt;[[DEVDeals] - [Funding (Seq: 16)] Rate - Send]&gt;</t>
        </r>
      </text>
    </comment>
    <comment ref="Q198" authorId="1" shapeId="0" xr:uid="{00000000-0006-0000-2100-000049020000}">
      <text>
        <r>
          <rPr>
            <b/>
            <sz val="9"/>
            <color indexed="81"/>
            <rFont val="Tahoma"/>
            <family val="2"/>
          </rPr>
          <t>&lt;[[DEVDeals] - [Funding (Seq: 16)] Program Type - Send]&gt;</t>
        </r>
      </text>
    </comment>
    <comment ref="S198" authorId="1" shapeId="0" xr:uid="{00000000-0006-0000-2100-00004A020000}">
      <text>
        <r>
          <rPr>
            <b/>
            <sz val="9"/>
            <color indexed="81"/>
            <rFont val="Tahoma"/>
            <family val="2"/>
          </rPr>
          <t>&lt;[[DEVDeals] - [Funding (Seq: 13)] Amount - Send]&gt;</t>
        </r>
      </text>
    </comment>
    <comment ref="V198" authorId="1" shapeId="0" xr:uid="{00000000-0006-0000-2100-00004B020000}">
      <text>
        <r>
          <rPr>
            <b/>
            <sz val="9"/>
            <color indexed="81"/>
            <rFont val="Tahoma"/>
            <family val="2"/>
          </rPr>
          <t>&lt;[[DEVDeals] - [Associated TC Deal (Seq: 1)] - [TC Property Current Stage (Seq: 1)] - [Property Financing (Seq: 16)] Source Name - Send]&gt;</t>
        </r>
      </text>
    </comment>
    <comment ref="W198" authorId="1" shapeId="0" xr:uid="{00000000-0006-0000-2100-00004C020000}">
      <text>
        <r>
          <rPr>
            <b/>
            <sz val="9"/>
            <color indexed="81"/>
            <rFont val="Tahoma"/>
            <family val="2"/>
          </rPr>
          <t>&lt;[[DEVDeals] - [Associated TC Deal (Seq: 1)] - [TC Property Current Stage (Seq: 1)] - [Property Financing (Seq: 16)] Financing Type - Send]&gt;</t>
        </r>
      </text>
    </comment>
    <comment ref="X198" authorId="1" shapeId="0" xr:uid="{00000000-0006-0000-2100-00004D020000}">
      <text>
        <r>
          <rPr>
            <b/>
            <sz val="9"/>
            <color indexed="81"/>
            <rFont val="Tahoma"/>
            <family val="2"/>
          </rPr>
          <t>&lt;[[DEVDeals] - [Associated TC Deal (Seq: 1)] - [TC Property Current Stage (Seq: 1)] - [Property Financing (Seq: 16)] Amount - Send]&gt;</t>
        </r>
      </text>
    </comment>
    <comment ref="Y198" authorId="1" shapeId="0" xr:uid="{00000000-0006-0000-2100-00004E020000}">
      <text>
        <r>
          <rPr>
            <b/>
            <sz val="9"/>
            <color indexed="81"/>
            <rFont val="Tahoma"/>
            <family val="2"/>
          </rPr>
          <t>&lt;[[DEVDeals] - [Associated TC Deal (Seq: 1)] - [TC Property Current Stage (Seq: 1)] - [Property Financing (Seq: 16)] Loan Term - Send]&gt;</t>
        </r>
      </text>
    </comment>
    <comment ref="Z198" authorId="1" shapeId="0" xr:uid="{00000000-0006-0000-2100-00004F020000}">
      <text>
        <r>
          <rPr>
            <b/>
            <sz val="9"/>
            <color indexed="81"/>
            <rFont val="Tahoma"/>
            <family val="2"/>
          </rPr>
          <t>&lt;[[DEVDeals] - [Associated TC Deal (Seq: 1)] - [TC Property Current Stage (Seq: 1)] - [Property Financing (Seq: 16)] Interest Rate - Send]&gt;</t>
        </r>
      </text>
    </comment>
    <comment ref="AC198" authorId="1" shapeId="0" xr:uid="{00000000-0006-0000-2100-000050020000}">
      <text>
        <r>
          <rPr>
            <b/>
            <sz val="9"/>
            <color indexed="81"/>
            <rFont val="Tahoma"/>
            <family val="2"/>
          </rPr>
          <t>&lt;[[DEVDeals] - [Budget Initial (Seq: 1)] - [Budget Initial - User Defined Field Values (Seq: 1)] Sources - Source 16 Name CLC - Send]&gt;</t>
        </r>
      </text>
    </comment>
    <comment ref="AD198" authorId="1" shapeId="0" xr:uid="{00000000-0006-0000-2100-000051020000}">
      <text>
        <r>
          <rPr>
            <b/>
            <sz val="9"/>
            <color indexed="81"/>
            <rFont val="Tahoma"/>
            <family val="2"/>
          </rPr>
          <t>&lt;[[DEVDeals] - [Budget Initial (Seq: 1)] - [Budget Initial - User Defined Field Values (Seq: 1)] Sources - Source 16 CLC Amount - Send]&gt;</t>
        </r>
      </text>
    </comment>
    <comment ref="AE198" authorId="1" shapeId="0" xr:uid="{00000000-0006-0000-2100-000052020000}">
      <text>
        <r>
          <rPr>
            <b/>
            <sz val="9"/>
            <color indexed="81"/>
            <rFont val="Tahoma"/>
            <family val="2"/>
          </rPr>
          <t>&lt;[[DEVDeals] - [Budget Initial (Seq: 1)] - [Budget Initial - User Defined Field Values (Seq: 1)] Sources - Source 16 Name PLC - Send]&gt;</t>
        </r>
      </text>
    </comment>
    <comment ref="AF198" authorId="1" shapeId="0" xr:uid="{00000000-0006-0000-2100-000053020000}">
      <text>
        <r>
          <rPr>
            <b/>
            <sz val="9"/>
            <color indexed="81"/>
            <rFont val="Tahoma"/>
            <family val="2"/>
          </rPr>
          <t>&lt;[[DEVDeals] - [Budget Initial (Seq: 1)] - [Budget Initial - User Defined Field Values (Seq: 1)] Sources - Source 1 PLC Amount - Send]&gt;</t>
        </r>
      </text>
    </comment>
    <comment ref="M199" authorId="0" shapeId="0" xr:uid="{00000000-0006-0000-2100-000054020000}">
      <text>
        <r>
          <rPr>
            <b/>
            <sz val="9"/>
            <color indexed="81"/>
            <rFont val="Tahoma"/>
            <family val="2"/>
          </rPr>
          <t>&lt;[[DEVDeals] - [Funding (Seq: 17)] All DEV Funding Sources - Send]&gt;</t>
        </r>
      </text>
    </comment>
    <comment ref="N199" authorId="1" shapeId="0" xr:uid="{00000000-0006-0000-2100-000055020000}">
      <text>
        <r>
          <rPr>
            <b/>
            <sz val="9"/>
            <color indexed="81"/>
            <rFont val="Tahoma"/>
            <family val="2"/>
          </rPr>
          <t>&lt;[[DEVDeals] - [Funding (Seq: 17)] Instrument Type - Send]&gt;</t>
        </r>
      </text>
    </comment>
    <comment ref="O199" authorId="1" shapeId="0" xr:uid="{00000000-0006-0000-2100-000056020000}">
      <text>
        <r>
          <rPr>
            <b/>
            <sz val="9"/>
            <color indexed="81"/>
            <rFont val="Tahoma"/>
            <family val="2"/>
          </rPr>
          <t>&lt;[[DEVDeals] - [Funding (Seq: 17)] Term - Send]&gt;</t>
        </r>
      </text>
    </comment>
    <comment ref="P199" authorId="1" shapeId="0" xr:uid="{00000000-0006-0000-2100-000057020000}">
      <text>
        <r>
          <rPr>
            <b/>
            <sz val="9"/>
            <color indexed="81"/>
            <rFont val="Tahoma"/>
            <family val="2"/>
          </rPr>
          <t>&lt;[[DEVDeals] - [Funding (Seq: 17)] Rate - Send]&gt;</t>
        </r>
      </text>
    </comment>
    <comment ref="Q199" authorId="1" shapeId="0" xr:uid="{00000000-0006-0000-2100-000058020000}">
      <text>
        <r>
          <rPr>
            <b/>
            <sz val="9"/>
            <color indexed="81"/>
            <rFont val="Tahoma"/>
            <family val="2"/>
          </rPr>
          <t>&lt;[[DEVDeals] - [Funding (Seq: 17)] Program Type - Send]&gt;</t>
        </r>
      </text>
    </comment>
    <comment ref="S199" authorId="1" shapeId="0" xr:uid="{00000000-0006-0000-2100-000059020000}">
      <text>
        <r>
          <rPr>
            <b/>
            <sz val="9"/>
            <color indexed="81"/>
            <rFont val="Tahoma"/>
            <family val="2"/>
          </rPr>
          <t>&lt;[[DEVDeals] - [Funding (Seq: 13)] Amount - Send]&gt;</t>
        </r>
      </text>
    </comment>
    <comment ref="V199" authorId="1" shapeId="0" xr:uid="{00000000-0006-0000-2100-00005A020000}">
      <text>
        <r>
          <rPr>
            <b/>
            <sz val="9"/>
            <color indexed="81"/>
            <rFont val="Tahoma"/>
            <family val="2"/>
          </rPr>
          <t>&lt;[[DEVDeals] - [Associated TC Deal (Seq: 1)] - [TC Property Current Stage (Seq: 1)] - [Property Financing (Seq: 17)] Source Name - Send]&gt;</t>
        </r>
      </text>
    </comment>
    <comment ref="W199" authorId="1" shapeId="0" xr:uid="{00000000-0006-0000-2100-00005B020000}">
      <text>
        <r>
          <rPr>
            <b/>
            <sz val="9"/>
            <color indexed="81"/>
            <rFont val="Tahoma"/>
            <family val="2"/>
          </rPr>
          <t>&lt;[[DEVDeals] - [Associated TC Deal (Seq: 1)] - [TC Property Current Stage (Seq: 1)] - [Property Financing (Seq: 17)] Financing Type - Send]&gt;</t>
        </r>
      </text>
    </comment>
    <comment ref="X199" authorId="1" shapeId="0" xr:uid="{00000000-0006-0000-2100-00005C020000}">
      <text>
        <r>
          <rPr>
            <b/>
            <sz val="9"/>
            <color indexed="81"/>
            <rFont val="Tahoma"/>
            <family val="2"/>
          </rPr>
          <t>&lt;[[DEVDeals] - [Associated TC Deal (Seq: 1)] - [TC Property Current Stage (Seq: 1)] - [Property Financing (Seq: 17)] Amount - Send]&gt;</t>
        </r>
      </text>
    </comment>
    <comment ref="Y199" authorId="1" shapeId="0" xr:uid="{00000000-0006-0000-2100-00005D020000}">
      <text>
        <r>
          <rPr>
            <b/>
            <sz val="9"/>
            <color indexed="81"/>
            <rFont val="Tahoma"/>
            <family val="2"/>
          </rPr>
          <t>&lt;[[DEVDeals] - [Associated TC Deal (Seq: 1)] - [TC Property Current Stage (Seq: 1)] - [Property Financing (Seq: 17)] Loan Term - Send]&gt;</t>
        </r>
      </text>
    </comment>
    <comment ref="Z199" authorId="1" shapeId="0" xr:uid="{00000000-0006-0000-2100-00005E020000}">
      <text>
        <r>
          <rPr>
            <b/>
            <sz val="9"/>
            <color indexed="81"/>
            <rFont val="Tahoma"/>
            <family val="2"/>
          </rPr>
          <t>&lt;[[DEVDeals] - [Associated TC Deal (Seq: 1)] - [TC Property Current Stage (Seq: 1)] - [Property Financing (Seq: 17)] Interest Rate - Send]&gt;</t>
        </r>
      </text>
    </comment>
    <comment ref="AC199" authorId="1" shapeId="0" xr:uid="{00000000-0006-0000-2100-00005F020000}">
      <text>
        <r>
          <rPr>
            <b/>
            <sz val="9"/>
            <color indexed="81"/>
            <rFont val="Tahoma"/>
            <family val="2"/>
          </rPr>
          <t>&lt;[[DEVDeals] - [Budget Initial (Seq: 1)] - [Budget Initial - User Defined Field Values (Seq: 1)] Sources - Source 17 Name CLC - Send]&gt;</t>
        </r>
      </text>
    </comment>
    <comment ref="AD199" authorId="1" shapeId="0" xr:uid="{00000000-0006-0000-2100-000060020000}">
      <text>
        <r>
          <rPr>
            <b/>
            <sz val="9"/>
            <color indexed="81"/>
            <rFont val="Tahoma"/>
            <family val="2"/>
          </rPr>
          <t>&lt;[[DEVDeals] - [Budget Initial (Seq: 1)] - [Budget Initial - User Defined Field Values (Seq: 1)] Sources - Source 17 CLC Amount - Send]&gt;</t>
        </r>
      </text>
    </comment>
    <comment ref="AE199" authorId="1" shapeId="0" xr:uid="{00000000-0006-0000-2100-000061020000}">
      <text>
        <r>
          <rPr>
            <b/>
            <sz val="9"/>
            <color indexed="81"/>
            <rFont val="Tahoma"/>
            <family val="2"/>
          </rPr>
          <t>&lt;[[DEVDeals] - [Budget Initial (Seq: 1)] - [Budget Initial - User Defined Field Values (Seq: 1)] Sources - Source 17 Name PLC - Send]&gt;</t>
        </r>
      </text>
    </comment>
    <comment ref="AF199" authorId="1" shapeId="0" xr:uid="{00000000-0006-0000-2100-000062020000}">
      <text>
        <r>
          <rPr>
            <b/>
            <sz val="9"/>
            <color indexed="81"/>
            <rFont val="Tahoma"/>
            <family val="2"/>
          </rPr>
          <t>&lt;[[DEVDeals] - [Budget Initial (Seq: 1)] - [Budget Initial - User Defined Field Values (Seq: 1)] Sources - Source 1 PLC Amount - Send]&gt;</t>
        </r>
      </text>
    </comment>
    <comment ref="M200" authorId="0" shapeId="0" xr:uid="{00000000-0006-0000-2100-000063020000}">
      <text>
        <r>
          <rPr>
            <b/>
            <sz val="9"/>
            <color indexed="81"/>
            <rFont val="Tahoma"/>
            <family val="2"/>
          </rPr>
          <t>&lt;[[DEVDeals] - [Funding (Seq: 18)] All DEV Funding Sources - Send]&gt;</t>
        </r>
      </text>
    </comment>
    <comment ref="N200" authorId="1" shapeId="0" xr:uid="{00000000-0006-0000-2100-000064020000}">
      <text>
        <r>
          <rPr>
            <b/>
            <sz val="9"/>
            <color indexed="81"/>
            <rFont val="Tahoma"/>
            <family val="2"/>
          </rPr>
          <t>&lt;[[DEVDeals] - [Funding (Seq: 18)] Instrument Type - Send]&gt;</t>
        </r>
      </text>
    </comment>
    <comment ref="O200" authorId="1" shapeId="0" xr:uid="{00000000-0006-0000-2100-000065020000}">
      <text>
        <r>
          <rPr>
            <b/>
            <sz val="9"/>
            <color indexed="81"/>
            <rFont val="Tahoma"/>
            <family val="2"/>
          </rPr>
          <t>&lt;[[DEVDeals] - [Funding (Seq: 18)] Term - Send]&gt;</t>
        </r>
      </text>
    </comment>
    <comment ref="P200" authorId="1" shapeId="0" xr:uid="{00000000-0006-0000-2100-000066020000}">
      <text>
        <r>
          <rPr>
            <b/>
            <sz val="9"/>
            <color indexed="81"/>
            <rFont val="Tahoma"/>
            <family val="2"/>
          </rPr>
          <t>&lt;[[DEVDeals] - [Funding (Seq: 18)] Rate - Send]&gt;</t>
        </r>
      </text>
    </comment>
    <comment ref="Q200" authorId="1" shapeId="0" xr:uid="{00000000-0006-0000-2100-000067020000}">
      <text>
        <r>
          <rPr>
            <b/>
            <sz val="9"/>
            <color indexed="81"/>
            <rFont val="Tahoma"/>
            <family val="2"/>
          </rPr>
          <t>&lt;[[DEVDeals] - [Funding (Seq: 18)] Program Type - Send]&gt;</t>
        </r>
      </text>
    </comment>
    <comment ref="S200" authorId="1" shapeId="0" xr:uid="{00000000-0006-0000-2100-000068020000}">
      <text>
        <r>
          <rPr>
            <b/>
            <sz val="9"/>
            <color indexed="81"/>
            <rFont val="Tahoma"/>
            <family val="2"/>
          </rPr>
          <t>&lt;[[DEVDeals] - [Funding (Seq: 13)] Amount - Send]&gt;</t>
        </r>
      </text>
    </comment>
    <comment ref="V200" authorId="1" shapeId="0" xr:uid="{00000000-0006-0000-2100-000069020000}">
      <text>
        <r>
          <rPr>
            <b/>
            <sz val="9"/>
            <color indexed="81"/>
            <rFont val="Tahoma"/>
            <family val="2"/>
          </rPr>
          <t>&lt;[[DEVDeals] - [Associated TC Deal (Seq: 1)] - [TC Property Current Stage (Seq: 1)] - [Property Financing (Seq: 18)] Source Name - Send]&gt;</t>
        </r>
      </text>
    </comment>
    <comment ref="W200" authorId="1" shapeId="0" xr:uid="{00000000-0006-0000-2100-00006A020000}">
      <text>
        <r>
          <rPr>
            <b/>
            <sz val="9"/>
            <color indexed="81"/>
            <rFont val="Tahoma"/>
            <family val="2"/>
          </rPr>
          <t>&lt;[[DEVDeals] - [Associated TC Deal (Seq: 1)] - [TC Property Current Stage (Seq: 1)] - [Property Financing (Seq: 18)] Financing Type - Send]&gt;</t>
        </r>
      </text>
    </comment>
    <comment ref="X200" authorId="1" shapeId="0" xr:uid="{00000000-0006-0000-2100-00006B020000}">
      <text>
        <r>
          <rPr>
            <b/>
            <sz val="9"/>
            <color indexed="81"/>
            <rFont val="Tahoma"/>
            <family val="2"/>
          </rPr>
          <t>&lt;[[DEVDeals] - [Associated TC Deal (Seq: 1)] - [TC Property Current Stage (Seq: 1)] - [Property Financing (Seq: 18)] Amount - Send]&gt;</t>
        </r>
      </text>
    </comment>
    <comment ref="Y200" authorId="1" shapeId="0" xr:uid="{00000000-0006-0000-2100-00006C020000}">
      <text>
        <r>
          <rPr>
            <b/>
            <sz val="9"/>
            <color indexed="81"/>
            <rFont val="Tahoma"/>
            <family val="2"/>
          </rPr>
          <t>&lt;[[DEVDeals] - [Associated TC Deal (Seq: 1)] - [TC Property Current Stage (Seq: 1)] - [Property Financing (Seq: 18)] Loan Term - Send]&gt;</t>
        </r>
      </text>
    </comment>
    <comment ref="Z200" authorId="1" shapeId="0" xr:uid="{00000000-0006-0000-2100-00006D020000}">
      <text>
        <r>
          <rPr>
            <b/>
            <sz val="9"/>
            <color indexed="81"/>
            <rFont val="Tahoma"/>
            <family val="2"/>
          </rPr>
          <t>&lt;[[DEVDeals] - [Associated TC Deal (Seq: 1)] - [TC Property Current Stage (Seq: 1)] - [Property Financing (Seq: 18)] Interest Rate - Send]&gt;</t>
        </r>
      </text>
    </comment>
    <comment ref="AC200" authorId="1" shapeId="0" xr:uid="{00000000-0006-0000-2100-00006E020000}">
      <text>
        <r>
          <rPr>
            <b/>
            <sz val="9"/>
            <color indexed="81"/>
            <rFont val="Tahoma"/>
            <family val="2"/>
          </rPr>
          <t>&lt;[[DEVDeals] - [Budget Initial (Seq: 1)] - [Budget Initial - User Defined Field Values (Seq: 1)] Sources - Source 18 Name CLC - Send]&gt;</t>
        </r>
      </text>
    </comment>
    <comment ref="AD200" authorId="1" shapeId="0" xr:uid="{00000000-0006-0000-2100-00006F020000}">
      <text>
        <r>
          <rPr>
            <b/>
            <sz val="9"/>
            <color indexed="81"/>
            <rFont val="Tahoma"/>
            <family val="2"/>
          </rPr>
          <t>&lt;[[DEVDeals] - [Budget Initial (Seq: 1)] - [Budget Initial - User Defined Field Values (Seq: 1)] Sources - Source 18 CLC Amount - Send]&gt;</t>
        </r>
      </text>
    </comment>
    <comment ref="AE200" authorId="1" shapeId="0" xr:uid="{00000000-0006-0000-2100-000070020000}">
      <text>
        <r>
          <rPr>
            <b/>
            <sz val="9"/>
            <color indexed="81"/>
            <rFont val="Tahoma"/>
            <family val="2"/>
          </rPr>
          <t>&lt;[[DEVDeals] - [Budget Initial (Seq: 1)] - [Budget Initial - User Defined Field Values (Seq: 1)] Sources - Source 18 Name PLC - Send]&gt;</t>
        </r>
      </text>
    </comment>
    <comment ref="AF200" authorId="1" shapeId="0" xr:uid="{00000000-0006-0000-2100-000071020000}">
      <text>
        <r>
          <rPr>
            <b/>
            <sz val="9"/>
            <color indexed="81"/>
            <rFont val="Tahoma"/>
            <family val="2"/>
          </rPr>
          <t>&lt;[[DEVDeals] - [Budget Initial (Seq: 1)] - [Budget Initial - User Defined Field Values (Seq: 1)] Sources - Source 1 PLC Amount - Send]&gt;</t>
        </r>
      </text>
    </comment>
    <comment ref="M201" authorId="0" shapeId="0" xr:uid="{00000000-0006-0000-2100-000072020000}">
      <text>
        <r>
          <rPr>
            <b/>
            <sz val="9"/>
            <color indexed="81"/>
            <rFont val="Tahoma"/>
            <family val="2"/>
          </rPr>
          <t>&lt;[[DEVDeals] - [Funding (Seq: 19)] All DEV Funding Sources - Send]&gt;</t>
        </r>
      </text>
    </comment>
    <comment ref="N201" authorId="1" shapeId="0" xr:uid="{00000000-0006-0000-2100-000073020000}">
      <text>
        <r>
          <rPr>
            <b/>
            <sz val="9"/>
            <color indexed="81"/>
            <rFont val="Tahoma"/>
            <family val="2"/>
          </rPr>
          <t>&lt;[[DEVDeals] - [Funding (Seq: 19)] Instrument Type - Send]&gt;</t>
        </r>
      </text>
    </comment>
    <comment ref="O201" authorId="1" shapeId="0" xr:uid="{00000000-0006-0000-2100-000074020000}">
      <text>
        <r>
          <rPr>
            <b/>
            <sz val="9"/>
            <color indexed="81"/>
            <rFont val="Tahoma"/>
            <family val="2"/>
          </rPr>
          <t>&lt;[[DEVDeals] - [Funding (Seq: 19)] Term - Send]&gt;</t>
        </r>
      </text>
    </comment>
    <comment ref="P201" authorId="1" shapeId="0" xr:uid="{00000000-0006-0000-2100-000075020000}">
      <text>
        <r>
          <rPr>
            <b/>
            <sz val="9"/>
            <color indexed="81"/>
            <rFont val="Tahoma"/>
            <family val="2"/>
          </rPr>
          <t>&lt;[[DEVDeals] - [Funding (Seq: 19)] Rate - Send]&gt;</t>
        </r>
      </text>
    </comment>
    <comment ref="Q201" authorId="1" shapeId="0" xr:uid="{00000000-0006-0000-2100-000076020000}">
      <text>
        <r>
          <rPr>
            <b/>
            <sz val="9"/>
            <color indexed="81"/>
            <rFont val="Tahoma"/>
            <family val="2"/>
          </rPr>
          <t>&lt;[[DEVDeals] - [Funding (Seq: 19)] Program Type - Send]&gt;</t>
        </r>
      </text>
    </comment>
    <comment ref="S201" authorId="1" shapeId="0" xr:uid="{00000000-0006-0000-2100-000077020000}">
      <text>
        <r>
          <rPr>
            <b/>
            <sz val="9"/>
            <color indexed="81"/>
            <rFont val="Tahoma"/>
            <family val="2"/>
          </rPr>
          <t>&lt;[[DEVDeals] - [Funding (Seq: 13)] Amount - Send]&gt;</t>
        </r>
      </text>
    </comment>
    <comment ref="V201" authorId="1" shapeId="0" xr:uid="{00000000-0006-0000-2100-000078020000}">
      <text>
        <r>
          <rPr>
            <b/>
            <sz val="9"/>
            <color indexed="81"/>
            <rFont val="Tahoma"/>
            <family val="2"/>
          </rPr>
          <t>&lt;[[DEVDeals] - [Associated TC Deal (Seq: 1)] - [TC Property Current Stage (Seq: 1)] - [Property Financing (Seq: 19)] Source Name - Send]&gt;</t>
        </r>
      </text>
    </comment>
    <comment ref="W201" authorId="1" shapeId="0" xr:uid="{00000000-0006-0000-2100-000079020000}">
      <text>
        <r>
          <rPr>
            <b/>
            <sz val="9"/>
            <color indexed="81"/>
            <rFont val="Tahoma"/>
            <family val="2"/>
          </rPr>
          <t>&lt;[[DEVDeals] - [Associated TC Deal (Seq: 1)] - [TC Property Current Stage (Seq: 1)] - [Property Financing (Seq: 19)] Financing Type - Send]&gt;</t>
        </r>
      </text>
    </comment>
    <comment ref="X201" authorId="1" shapeId="0" xr:uid="{00000000-0006-0000-2100-00007A020000}">
      <text>
        <r>
          <rPr>
            <b/>
            <sz val="9"/>
            <color indexed="81"/>
            <rFont val="Tahoma"/>
            <family val="2"/>
          </rPr>
          <t>&lt;[[DEVDeals] - [Associated TC Deal (Seq: 1)] - [TC Property Current Stage (Seq: 1)] - [Property Financing (Seq: 19)] Amount - Send]&gt;</t>
        </r>
      </text>
    </comment>
    <comment ref="Y201" authorId="1" shapeId="0" xr:uid="{00000000-0006-0000-2100-00007B020000}">
      <text>
        <r>
          <rPr>
            <b/>
            <sz val="9"/>
            <color indexed="81"/>
            <rFont val="Tahoma"/>
            <family val="2"/>
          </rPr>
          <t>&lt;[[DEVDeals] - [Associated TC Deal (Seq: 1)] - [TC Property Current Stage (Seq: 1)] - [Property Financing (Seq: 19)] Loan Term - Send]&gt;</t>
        </r>
      </text>
    </comment>
    <comment ref="Z201" authorId="1" shapeId="0" xr:uid="{00000000-0006-0000-2100-00007C020000}">
      <text>
        <r>
          <rPr>
            <b/>
            <sz val="9"/>
            <color indexed="81"/>
            <rFont val="Tahoma"/>
            <family val="2"/>
          </rPr>
          <t>&lt;[[DEVDeals] - [Associated TC Deal (Seq: 1)] - [TC Property Current Stage (Seq: 1)] - [Property Financing (Seq: 19)] Interest Rate - Send]&gt;</t>
        </r>
      </text>
    </comment>
    <comment ref="AC201" authorId="1" shapeId="0" xr:uid="{00000000-0006-0000-2100-00007D020000}">
      <text>
        <r>
          <rPr>
            <b/>
            <sz val="9"/>
            <color indexed="81"/>
            <rFont val="Tahoma"/>
            <family val="2"/>
          </rPr>
          <t>&lt;[[DEVDeals] - [Budget Initial (Seq: 1)] - [Budget Initial - User Defined Field Values (Seq: 1)] Sources - Source 19 Name CLC - Send]&gt;</t>
        </r>
      </text>
    </comment>
    <comment ref="AD201" authorId="1" shapeId="0" xr:uid="{00000000-0006-0000-2100-00007E020000}">
      <text>
        <r>
          <rPr>
            <b/>
            <sz val="9"/>
            <color indexed="81"/>
            <rFont val="Tahoma"/>
            <family val="2"/>
          </rPr>
          <t>&lt;[[DEVDeals] - [Budget Initial (Seq: 1)] - [Budget Initial - User Defined Field Values (Seq: 1)] Sources - Source 19 CLC Amount - Send]&gt;</t>
        </r>
      </text>
    </comment>
    <comment ref="AE201" authorId="1" shapeId="0" xr:uid="{00000000-0006-0000-2100-00007F020000}">
      <text>
        <r>
          <rPr>
            <b/>
            <sz val="9"/>
            <color indexed="81"/>
            <rFont val="Tahoma"/>
            <family val="2"/>
          </rPr>
          <t>&lt;[[DEVDeals] - [Budget Initial (Seq: 1)] - [Budget Initial - User Defined Field Values (Seq: 1)] Sources - Source 19 Name PLC - Send]&gt;</t>
        </r>
      </text>
    </comment>
    <comment ref="AF201" authorId="1" shapeId="0" xr:uid="{00000000-0006-0000-2100-000080020000}">
      <text>
        <r>
          <rPr>
            <b/>
            <sz val="9"/>
            <color indexed="81"/>
            <rFont val="Tahoma"/>
            <family val="2"/>
          </rPr>
          <t>&lt;[[DEVDeals] - [Budget Initial (Seq: 1)] - [Budget Initial - User Defined Field Values (Seq: 1)] Sources - Source 1 PLC Amount - Send]&gt;</t>
        </r>
      </text>
    </comment>
    <comment ref="M202" authorId="0" shapeId="0" xr:uid="{00000000-0006-0000-2100-000081020000}">
      <text>
        <r>
          <rPr>
            <b/>
            <sz val="9"/>
            <color indexed="81"/>
            <rFont val="Tahoma"/>
            <family val="2"/>
          </rPr>
          <t>&lt;[[DEVDeals] - [Funding (Seq: 20)] All DEV Funding Sources - Send]&gt;</t>
        </r>
      </text>
    </comment>
    <comment ref="N202" authorId="1" shapeId="0" xr:uid="{00000000-0006-0000-2100-000082020000}">
      <text>
        <r>
          <rPr>
            <b/>
            <sz val="9"/>
            <color indexed="81"/>
            <rFont val="Tahoma"/>
            <family val="2"/>
          </rPr>
          <t>&lt;[[DEVDeals] - [Funding (Seq: 20)] Instrument Type - Send]&gt;</t>
        </r>
      </text>
    </comment>
    <comment ref="O202" authorId="1" shapeId="0" xr:uid="{00000000-0006-0000-2100-000083020000}">
      <text>
        <r>
          <rPr>
            <b/>
            <sz val="9"/>
            <color indexed="81"/>
            <rFont val="Tahoma"/>
            <family val="2"/>
          </rPr>
          <t>&lt;[[DEVDeals] - [Funding (Seq: 20)] Term - Send]&gt;</t>
        </r>
      </text>
    </comment>
    <comment ref="P202" authorId="1" shapeId="0" xr:uid="{00000000-0006-0000-2100-000084020000}">
      <text>
        <r>
          <rPr>
            <b/>
            <sz val="9"/>
            <color indexed="81"/>
            <rFont val="Tahoma"/>
            <family val="2"/>
          </rPr>
          <t>&lt;[[DEVDeals] - [Funding (Seq: 20)] Rate - Send]&gt;</t>
        </r>
      </text>
    </comment>
    <comment ref="Q202" authorId="1" shapeId="0" xr:uid="{00000000-0006-0000-2100-000085020000}">
      <text>
        <r>
          <rPr>
            <b/>
            <sz val="9"/>
            <color indexed="81"/>
            <rFont val="Tahoma"/>
            <family val="2"/>
          </rPr>
          <t>&lt;[[DEVDeals] - [Funding (Seq: 20)] Program Type - Send]&gt;</t>
        </r>
      </text>
    </comment>
    <comment ref="S202" authorId="1" shapeId="0" xr:uid="{00000000-0006-0000-2100-000086020000}">
      <text>
        <r>
          <rPr>
            <b/>
            <sz val="9"/>
            <color indexed="81"/>
            <rFont val="Tahoma"/>
            <family val="2"/>
          </rPr>
          <t>&lt;[[DEVDeals] - [Funding (Seq: 13)] Amount - Send]&gt;</t>
        </r>
      </text>
    </comment>
    <comment ref="V202" authorId="1" shapeId="0" xr:uid="{00000000-0006-0000-2100-000087020000}">
      <text>
        <r>
          <rPr>
            <b/>
            <sz val="9"/>
            <color indexed="81"/>
            <rFont val="Tahoma"/>
            <family val="2"/>
          </rPr>
          <t>&lt;[[DEVDeals] - [Associated TC Deal (Seq: 1)] - [TC Property Current Stage (Seq: 1)] - [Property Financing (Seq: 20)] Source Name - Send]&gt;</t>
        </r>
      </text>
    </comment>
    <comment ref="W202" authorId="1" shapeId="0" xr:uid="{00000000-0006-0000-2100-000088020000}">
      <text>
        <r>
          <rPr>
            <b/>
            <sz val="9"/>
            <color indexed="81"/>
            <rFont val="Tahoma"/>
            <family val="2"/>
          </rPr>
          <t>&lt;[[DEVDeals] - [Associated TC Deal (Seq: 1)] - [TC Property Current Stage (Seq: 1)] - [Property Financing (Seq: 20)] Financing Type - Send]&gt;</t>
        </r>
      </text>
    </comment>
    <comment ref="X202" authorId="1" shapeId="0" xr:uid="{00000000-0006-0000-2100-000089020000}">
      <text>
        <r>
          <rPr>
            <b/>
            <sz val="9"/>
            <color indexed="81"/>
            <rFont val="Tahoma"/>
            <family val="2"/>
          </rPr>
          <t>&lt;[[DEVDeals] - [Associated TC Deal (Seq: 1)] - [TC Property Current Stage (Seq: 1)] - [Property Financing (Seq: 20)] Amount - Send]&gt;</t>
        </r>
      </text>
    </comment>
    <comment ref="Y202" authorId="1" shapeId="0" xr:uid="{00000000-0006-0000-2100-00008A020000}">
      <text>
        <r>
          <rPr>
            <b/>
            <sz val="9"/>
            <color indexed="81"/>
            <rFont val="Tahoma"/>
            <family val="2"/>
          </rPr>
          <t>&lt;[[DEVDeals] - [Associated TC Deal (Seq: 1)] - [TC Property Current Stage (Seq: 1)] - [Property Financing (Seq: 20)] Loan Term - Send]&gt;</t>
        </r>
      </text>
    </comment>
    <comment ref="Z202" authorId="1" shapeId="0" xr:uid="{00000000-0006-0000-2100-00008B020000}">
      <text>
        <r>
          <rPr>
            <b/>
            <sz val="9"/>
            <color indexed="81"/>
            <rFont val="Tahoma"/>
            <family val="2"/>
          </rPr>
          <t>&lt;[[DEVDeals] - [Associated TC Deal (Seq: 1)] - [TC Property Current Stage (Seq: 1)] - [Property Financing (Seq: 20)] Interest Rate - Send]&gt;</t>
        </r>
      </text>
    </comment>
    <comment ref="AC202" authorId="1" shapeId="0" xr:uid="{00000000-0006-0000-2100-00008C020000}">
      <text>
        <r>
          <rPr>
            <b/>
            <sz val="9"/>
            <color indexed="81"/>
            <rFont val="Tahoma"/>
            <family val="2"/>
          </rPr>
          <t>&lt;[[DEVDeals] - [Budget Initial (Seq: 1)] - [Budget Initial - User Defined Field Values (Seq: 1)] Sources - Source 20 Name CLC - Send]&gt;</t>
        </r>
      </text>
    </comment>
    <comment ref="AD202" authorId="1" shapeId="0" xr:uid="{00000000-0006-0000-2100-00008D020000}">
      <text>
        <r>
          <rPr>
            <b/>
            <sz val="9"/>
            <color indexed="81"/>
            <rFont val="Tahoma"/>
            <family val="2"/>
          </rPr>
          <t>&lt;[[DEVDeals] - [Budget Initial (Seq: 1)] - [Budget Initial - User Defined Field Values (Seq: 1)] Sources - Source 20 CLC Amount - Send]&gt;</t>
        </r>
      </text>
    </comment>
    <comment ref="AE202" authorId="1" shapeId="0" xr:uid="{00000000-0006-0000-2100-00008E020000}">
      <text>
        <r>
          <rPr>
            <b/>
            <sz val="9"/>
            <color indexed="81"/>
            <rFont val="Tahoma"/>
            <family val="2"/>
          </rPr>
          <t>&lt;[[DEVDeals] - [Budget Initial (Seq: 1)] - [Budget Initial - User Defined Field Values (Seq: 1)] Sources - Source 20 Name PLC - Send]&gt;</t>
        </r>
      </text>
    </comment>
    <comment ref="AF202" authorId="1" shapeId="0" xr:uid="{00000000-0006-0000-2100-00008F020000}">
      <text>
        <r>
          <rPr>
            <b/>
            <sz val="9"/>
            <color indexed="81"/>
            <rFont val="Tahoma"/>
            <family val="2"/>
          </rPr>
          <t>&lt;[[DEVDeals] - [Budget Initial (Seq: 1)] - [Budget Initial - User Defined Field Values (Seq: 1)] Sources - Source 1 PLC Amount - Send]&gt;</t>
        </r>
      </text>
    </comment>
    <comment ref="M203" authorId="0" shapeId="0" xr:uid="{00000000-0006-0000-2100-000090020000}">
      <text>
        <r>
          <rPr>
            <b/>
            <sz val="9"/>
            <color indexed="81"/>
            <rFont val="Tahoma"/>
            <family val="2"/>
          </rPr>
          <t>&lt;[[DEVDeals] - [Funding (Seq: 21)] All DEV Funding Sources - Send]&gt;</t>
        </r>
      </text>
    </comment>
    <comment ref="N203" authorId="1" shapeId="0" xr:uid="{00000000-0006-0000-2100-000091020000}">
      <text>
        <r>
          <rPr>
            <b/>
            <sz val="9"/>
            <color indexed="81"/>
            <rFont val="Tahoma"/>
            <family val="2"/>
          </rPr>
          <t>&lt;[[DEVDeals] - [Funding (Seq: 21)] Instrument Type - Send]&gt;</t>
        </r>
      </text>
    </comment>
    <comment ref="O203" authorId="1" shapeId="0" xr:uid="{00000000-0006-0000-2100-000092020000}">
      <text>
        <r>
          <rPr>
            <b/>
            <sz val="9"/>
            <color indexed="81"/>
            <rFont val="Tahoma"/>
            <family val="2"/>
          </rPr>
          <t>&lt;[[DEVDeals] - [Funding (Seq: 21)] Term - Send]&gt;</t>
        </r>
      </text>
    </comment>
    <comment ref="P203" authorId="1" shapeId="0" xr:uid="{00000000-0006-0000-2100-000093020000}">
      <text>
        <r>
          <rPr>
            <b/>
            <sz val="9"/>
            <color indexed="81"/>
            <rFont val="Tahoma"/>
            <family val="2"/>
          </rPr>
          <t>&lt;[[DEVDeals] - [Funding (Seq: 21)] Rate - Send]&gt;</t>
        </r>
      </text>
    </comment>
    <comment ref="Q203" authorId="1" shapeId="0" xr:uid="{00000000-0006-0000-2100-000094020000}">
      <text>
        <r>
          <rPr>
            <b/>
            <sz val="9"/>
            <color indexed="81"/>
            <rFont val="Tahoma"/>
            <family val="2"/>
          </rPr>
          <t>&lt;[[DEVDeals] - [Funding (Seq: 21)] Program Type - Send]&gt;</t>
        </r>
      </text>
    </comment>
    <comment ref="S203" authorId="1" shapeId="0" xr:uid="{00000000-0006-0000-2100-000095020000}">
      <text>
        <r>
          <rPr>
            <b/>
            <sz val="9"/>
            <color indexed="81"/>
            <rFont val="Tahoma"/>
            <family val="2"/>
          </rPr>
          <t>&lt;[[DEVDeals] - [Funding (Seq: 13)] Amount - Send]&gt;</t>
        </r>
      </text>
    </comment>
    <comment ref="V203" authorId="1" shapeId="0" xr:uid="{00000000-0006-0000-2100-000096020000}">
      <text>
        <r>
          <rPr>
            <b/>
            <sz val="9"/>
            <color indexed="81"/>
            <rFont val="Tahoma"/>
            <family val="2"/>
          </rPr>
          <t>&lt;[[DEVDeals] - [Associated TC Deal (Seq: 1)] - [TC Property Current Stage (Seq: 1)] - [Property Financing (Seq: 21)] Source Name - Send]&gt;</t>
        </r>
      </text>
    </comment>
    <comment ref="W203" authorId="1" shapeId="0" xr:uid="{00000000-0006-0000-2100-000097020000}">
      <text>
        <r>
          <rPr>
            <b/>
            <sz val="9"/>
            <color indexed="81"/>
            <rFont val="Tahoma"/>
            <family val="2"/>
          </rPr>
          <t>&lt;[[DEVDeals] - [Associated TC Deal (Seq: 1)] - [TC Property Current Stage (Seq: 1)] - [Property Financing (Seq: 21)] Financing Type - Send]&gt;</t>
        </r>
      </text>
    </comment>
    <comment ref="X203" authorId="1" shapeId="0" xr:uid="{00000000-0006-0000-2100-000098020000}">
      <text>
        <r>
          <rPr>
            <b/>
            <sz val="9"/>
            <color indexed="81"/>
            <rFont val="Tahoma"/>
            <family val="2"/>
          </rPr>
          <t>&lt;[[DEVDeals] - [Associated TC Deal (Seq: 1)] - [TC Property Current Stage (Seq: 1)] - [Property Financing (Seq: 21)] Amount - Send]&gt;</t>
        </r>
      </text>
    </comment>
    <comment ref="Y203" authorId="1" shapeId="0" xr:uid="{00000000-0006-0000-2100-000099020000}">
      <text>
        <r>
          <rPr>
            <b/>
            <sz val="9"/>
            <color indexed="81"/>
            <rFont val="Tahoma"/>
            <family val="2"/>
          </rPr>
          <t>&lt;[[DEVDeals] - [Associated TC Deal (Seq: 1)] - [TC Property Current Stage (Seq: 1)] - [Property Financing (Seq: 21)] Loan Term - Send]&gt;</t>
        </r>
      </text>
    </comment>
    <comment ref="Z203" authorId="1" shapeId="0" xr:uid="{00000000-0006-0000-2100-00009A020000}">
      <text>
        <r>
          <rPr>
            <b/>
            <sz val="9"/>
            <color indexed="81"/>
            <rFont val="Tahoma"/>
            <family val="2"/>
          </rPr>
          <t>&lt;[[DEVDeals] - [Associated TC Deal (Seq: 1)] - [TC Property Current Stage (Seq: 1)] - [Property Financing (Seq: 21)] Interest Rate - Send]&gt;</t>
        </r>
      </text>
    </comment>
    <comment ref="AC203" authorId="1" shapeId="0" xr:uid="{00000000-0006-0000-2100-00009B020000}">
      <text>
        <r>
          <rPr>
            <b/>
            <sz val="9"/>
            <color indexed="81"/>
            <rFont val="Tahoma"/>
            <family val="2"/>
          </rPr>
          <t>&lt;[[DEVDeals] - [Budget Initial (Seq: 1)] - [Budget Initial - User Defined Field Values (Seq: 1)] Sources - Source 21 Name CLC - Send]&gt;</t>
        </r>
      </text>
    </comment>
    <comment ref="AD203" authorId="1" shapeId="0" xr:uid="{00000000-0006-0000-2100-00009C020000}">
      <text>
        <r>
          <rPr>
            <b/>
            <sz val="9"/>
            <color indexed="81"/>
            <rFont val="Tahoma"/>
            <family val="2"/>
          </rPr>
          <t>&lt;[[DEVDeals] - [Budget Initial (Seq: 1)] - [Budget Initial - User Defined Field Values (Seq: 1)] Sources - Source 21 CLC Amount - Send]&gt;</t>
        </r>
      </text>
    </comment>
    <comment ref="AE203" authorId="1" shapeId="0" xr:uid="{00000000-0006-0000-2100-00009D020000}">
      <text>
        <r>
          <rPr>
            <b/>
            <sz val="9"/>
            <color indexed="81"/>
            <rFont val="Tahoma"/>
            <family val="2"/>
          </rPr>
          <t>&lt;[[DEVDeals] - [Budget Initial (Seq: 1)] - [Budget Initial - User Defined Field Values (Seq: 1)] Sources - Source 21 Name PLC - Send]&gt;</t>
        </r>
      </text>
    </comment>
    <comment ref="AF203" authorId="1" shapeId="0" xr:uid="{00000000-0006-0000-2100-00009E020000}">
      <text>
        <r>
          <rPr>
            <b/>
            <sz val="9"/>
            <color indexed="81"/>
            <rFont val="Tahoma"/>
            <family val="2"/>
          </rPr>
          <t>&lt;[[DEVDeals] - [Budget Initial (Seq: 1)] - [Budget Initial - User Defined Field Values (Seq: 1)] Sources - Source 1 PLC Amount - Send]&gt;</t>
        </r>
      </text>
    </comment>
    <comment ref="AD204" authorId="1" shapeId="0" xr:uid="{00000000-0006-0000-2100-00009F020000}">
      <text>
        <r>
          <rPr>
            <b/>
            <sz val="9"/>
            <color indexed="81"/>
            <rFont val="Tahoma"/>
            <family val="2"/>
          </rPr>
          <t>&lt;[[DEVDeals] - [Budget Initial (Seq: 1)] - [Budget Initial - User Defined Field Values (Seq: 1)] Sources - CLC Total - Send]&gt;</t>
        </r>
      </text>
    </comment>
    <comment ref="AF204" authorId="1" shapeId="0" xr:uid="{00000000-0006-0000-2100-0000A0020000}">
      <text>
        <r>
          <rPr>
            <b/>
            <sz val="9"/>
            <color indexed="81"/>
            <rFont val="Tahoma"/>
            <family val="2"/>
          </rPr>
          <t>&lt;[[DEVDeals] - [Budget Initial (Seq: 1)] - [Budget Initial - User Defined Field Values (Seq: 1)] Sources - PLC Total - Send]&gt;</t>
        </r>
      </text>
    </comment>
    <comment ref="G214" authorId="1" shapeId="0" xr:uid="{00000000-0006-0000-2100-0000A1020000}">
      <text>
        <r>
          <rPr>
            <b/>
            <sz val="9"/>
            <color indexed="81"/>
            <rFont val="Tahoma"/>
            <family val="2"/>
          </rPr>
          <t>&lt;[[DEVDeals] - [Budget Initial (Seq: 1)] - [Budget Initial - User Defined Field Values (Seq: 1)] Other Costs Detail - Other Soft Costs - Send]&gt;</t>
        </r>
      </text>
    </comment>
    <comment ref="H214" authorId="1" shapeId="0" xr:uid="{00000000-0006-0000-2100-0000A2020000}">
      <text>
        <r>
          <rPr>
            <b/>
            <sz val="9"/>
            <color indexed="81"/>
            <rFont val="Tahoma"/>
            <family val="2"/>
          </rPr>
          <t>&lt;[[DEVDeals] - [Budget Initial (Seq: 1)] - [Budget Initial - User Defined Field Values (Seq: 1)] Other Costs Detail - Other Soft Costs Amount - Send]&gt;</t>
        </r>
      </text>
    </comment>
    <comment ref="L214" authorId="1" shapeId="0" xr:uid="{00000000-0006-0000-2100-0000A3020000}">
      <text>
        <r>
          <rPr>
            <b/>
            <sz val="9"/>
            <color indexed="81"/>
            <rFont val="Tahoma"/>
            <family val="2"/>
          </rPr>
          <t>&lt;[[DEVDeals] - [Associated TC Deal (Seq: 1)] - [TC Property Current Stage (Seq: 1)] - [TC Property Current Stage - User Defined Field Values (Seq: 1)] Other Costs Detail - Other Soft Costs - Send]&gt;</t>
        </r>
      </text>
    </comment>
    <comment ref="M214" authorId="1" shapeId="0" xr:uid="{00000000-0006-0000-2100-0000A4020000}">
      <text>
        <r>
          <rPr>
            <b/>
            <sz val="9"/>
            <color indexed="81"/>
            <rFont val="Tahoma"/>
            <family val="2"/>
          </rPr>
          <t>&lt;[[DEVDeals] - [Associated TC Deal (Seq: 1)] - [TC Property Current Stage (Seq: 1)] - [TC Property Current Stage - User Defined Field Values (Seq: 1)] Other Costs Detail - Other Soft Costs Amount - Send]&gt;</t>
        </r>
      </text>
    </comment>
    <comment ref="G215" authorId="1" shapeId="0" xr:uid="{00000000-0006-0000-2100-0000A5020000}">
      <text>
        <r>
          <rPr>
            <b/>
            <sz val="9"/>
            <color indexed="81"/>
            <rFont val="Tahoma"/>
            <family val="2"/>
          </rPr>
          <t>&lt;[[DEVDeals] - [Budget Initial (Seq: 1)] - [Budget Initial - User Defined Field Values (Seq: 1)] Other Costs Detail - Other Financing Fees - Send]&gt;</t>
        </r>
      </text>
    </comment>
    <comment ref="H215" authorId="1" shapeId="0" xr:uid="{00000000-0006-0000-2100-0000A6020000}">
      <text>
        <r>
          <rPr>
            <b/>
            <sz val="9"/>
            <color indexed="81"/>
            <rFont val="Tahoma"/>
            <family val="2"/>
          </rPr>
          <t>&lt;[[DEVDeals] - [Budget Initial (Seq: 1)] - [Budget Initial - User Defined Field Values (Seq: 1)] Other Costs Detail - Other Financing Fees Amount - Send]&gt;</t>
        </r>
      </text>
    </comment>
    <comment ref="L215" authorId="1" shapeId="0" xr:uid="{00000000-0006-0000-2100-0000A7020000}">
      <text>
        <r>
          <rPr>
            <b/>
            <sz val="9"/>
            <color indexed="81"/>
            <rFont val="Tahoma"/>
            <family val="2"/>
          </rPr>
          <t>&lt;[[DEVDeals] - [Associated TC Deal (Seq: 1)] - [TC Property Current Stage (Seq: 1)] - [TC Property Current Stage - User Defined Field Values (Seq: 1)] Other Costs Detail - Other Financing Fees - Send]&gt;</t>
        </r>
      </text>
    </comment>
    <comment ref="M215" authorId="1" shapeId="0" xr:uid="{00000000-0006-0000-2100-0000A8020000}">
      <text>
        <r>
          <rPr>
            <b/>
            <sz val="9"/>
            <color indexed="81"/>
            <rFont val="Tahoma"/>
            <family val="2"/>
          </rPr>
          <t>&lt;[[DEVDeals] - [Associated TC Deal (Seq: 1)] - [TC Property Current Stage (Seq: 1)] - [TC Property Current Stage - User Defined Field Values (Seq: 1)] Other Costs Detail - Other Financing Fees Amount - Send]&gt;</t>
        </r>
      </text>
    </comment>
    <comment ref="G216" authorId="1" shapeId="0" xr:uid="{00000000-0006-0000-2100-0000A9020000}">
      <text>
        <r>
          <rPr>
            <b/>
            <sz val="9"/>
            <color indexed="81"/>
            <rFont val="Tahoma"/>
            <family val="2"/>
          </rPr>
          <t>&lt;[[DEVDeals] - [Budget Initial (Seq: 1)] - [Budget Initial - User Defined Field Values (Seq: 1)] Other Costs Detail - Miscellaneous Costs Expenses - Send]&gt;</t>
        </r>
      </text>
    </comment>
    <comment ref="H216" authorId="1" shapeId="0" xr:uid="{00000000-0006-0000-2100-0000AA020000}">
      <text>
        <r>
          <rPr>
            <b/>
            <sz val="9"/>
            <color indexed="81"/>
            <rFont val="Tahoma"/>
            <family val="2"/>
          </rPr>
          <t>&lt;[[DEVDeals] - [Budget Initial (Seq: 1)] - [Budget Initial - User Defined Field Values (Seq: 1)] Other Costs Detail - Miscellaneous Costs Expenses Amount - Send]&gt;</t>
        </r>
      </text>
    </comment>
    <comment ref="L216" authorId="1" shapeId="0" xr:uid="{00000000-0006-0000-2100-0000AB020000}">
      <text>
        <r>
          <rPr>
            <b/>
            <sz val="9"/>
            <color indexed="81"/>
            <rFont val="Tahoma"/>
            <family val="2"/>
          </rPr>
          <t>&lt;[[DEVDeals] - [Associated TC Deal (Seq: 1)] - [TC Property Current Stage (Seq: 1)] - [TC Property Current Stage - User Defined Field Values (Seq: 1)] Other Costs Detail - Miscellaneous Costs Expenses - Send]&gt;</t>
        </r>
      </text>
    </comment>
    <comment ref="M216" authorId="1" shapeId="0" xr:uid="{00000000-0006-0000-2100-0000AC020000}">
      <text>
        <r>
          <rPr>
            <b/>
            <sz val="9"/>
            <color indexed="81"/>
            <rFont val="Tahoma"/>
            <family val="2"/>
          </rPr>
          <t>&lt;[[DEVDeals] - [Associated TC Deal (Seq: 1)] - [TC Property Current Stage (Seq: 1)] - [TC Property Current Stage - User Defined Field Values (Seq: 1)] Other Costs Detail - Miscellaneous Costs Expenses Amount - Send]&gt;</t>
        </r>
      </text>
    </comment>
    <comment ref="G217" authorId="1" shapeId="0" xr:uid="{00000000-0006-0000-2100-0000AD020000}">
      <text>
        <r>
          <rPr>
            <b/>
            <sz val="9"/>
            <color indexed="81"/>
            <rFont val="Tahoma"/>
            <family val="2"/>
          </rPr>
          <t>&lt;[[DEVDeals] - [Budget Initial (Seq: 1)] - [Budget Initial - User Defined Field Values (Seq: 1)] Other Costs Detail - Other Acquisition Costs - Send]&gt;</t>
        </r>
      </text>
    </comment>
    <comment ref="H217" authorId="1" shapeId="0" xr:uid="{00000000-0006-0000-2100-0000AE020000}">
      <text>
        <r>
          <rPr>
            <b/>
            <sz val="9"/>
            <color indexed="81"/>
            <rFont val="Tahoma"/>
            <family val="2"/>
          </rPr>
          <t>&lt;[[DEVDeals] - [Budget Initial (Seq: 1)] - [Budget Initial - User Defined Field Values (Seq: 1)] Other Costs Detail - Other Acquisition Costs Amount - Send]&gt;</t>
        </r>
      </text>
    </comment>
    <comment ref="L217" authorId="1" shapeId="0" xr:uid="{00000000-0006-0000-2100-0000AF020000}">
      <text>
        <r>
          <rPr>
            <b/>
            <sz val="9"/>
            <color indexed="81"/>
            <rFont val="Tahoma"/>
            <family val="2"/>
          </rPr>
          <t>&lt;[[DEVDeals] - [Associated TC Deal (Seq: 1)] - [TC Property Current Stage (Seq: 1)] - [TC Property Current Stage - User Defined Field Values (Seq: 1)] Other Costs Detail - Other Acquisition Costs - Send]&gt;</t>
        </r>
      </text>
    </comment>
    <comment ref="M217" authorId="1" shapeId="0" xr:uid="{00000000-0006-0000-2100-0000B0020000}">
      <text>
        <r>
          <rPr>
            <b/>
            <sz val="9"/>
            <color indexed="81"/>
            <rFont val="Tahoma"/>
            <family val="2"/>
          </rPr>
          <t>&lt;[[DEVDeals] - [Associated TC Deal (Seq: 1)] - [TC Property Current Stage (Seq: 1)] - [TC Property Current Stage - User Defined Field Values (Seq: 1)] Other Costs Detail - Other Acquisition Costs Amount - Send]&gt;</t>
        </r>
      </text>
    </comment>
    <comment ref="G218" authorId="1" shapeId="0" xr:uid="{00000000-0006-0000-2100-0000B1020000}">
      <text>
        <r>
          <rPr>
            <b/>
            <sz val="9"/>
            <color indexed="81"/>
            <rFont val="Tahoma"/>
            <family val="2"/>
          </rPr>
          <t>&lt;[[DEVDeals] - [Budget Initial (Seq: 1)] - [Budget Initial - User Defined Field Values (Seq: 1)] Other Costs Detail - Other Reserves Costs - Send]&gt;</t>
        </r>
      </text>
    </comment>
    <comment ref="H218" authorId="1" shapeId="0" xr:uid="{00000000-0006-0000-2100-0000B2020000}">
      <text>
        <r>
          <rPr>
            <b/>
            <sz val="9"/>
            <color indexed="81"/>
            <rFont val="Tahoma"/>
            <family val="2"/>
          </rPr>
          <t>&lt;[[DEVDeals] - [Budget Initial (Seq: 1)] - [Budget Initial - User Defined Field Values (Seq: 1)] Other Costs Detail - Other Reserves Costs Amount - Send]&gt;</t>
        </r>
      </text>
    </comment>
    <comment ref="L218" authorId="1" shapeId="0" xr:uid="{00000000-0006-0000-2100-0000B3020000}">
      <text>
        <r>
          <rPr>
            <b/>
            <sz val="9"/>
            <color indexed="81"/>
            <rFont val="Tahoma"/>
            <family val="2"/>
          </rPr>
          <t>&lt;[[DEVDeals] - [Associated TC Deal (Seq: 1)] - [TC Property Current Stage (Seq: 1)] - [TC Property Current Stage - User Defined Field Values (Seq: 1)] Other Costs Detail - Other Reserves Costs - Send]&gt;</t>
        </r>
      </text>
    </comment>
    <comment ref="M218" authorId="1" shapeId="0" xr:uid="{00000000-0006-0000-2100-0000B4020000}">
      <text>
        <r>
          <rPr>
            <b/>
            <sz val="9"/>
            <color indexed="81"/>
            <rFont val="Tahoma"/>
            <family val="2"/>
          </rPr>
          <t>&lt;[[DEVDeals] - [Associated TC Deal (Seq: 1)] - [TC Property Current Stage (Seq: 1)] - [TC Property Current Stage - User Defined Field Values (Seq: 1)] Other Costs Detail - Other Reserves Costs Amount - Send]&gt;</t>
        </r>
      </text>
    </comment>
    <comment ref="G219" authorId="1" shapeId="0" xr:uid="{00000000-0006-0000-2100-0000B5020000}">
      <text>
        <r>
          <rPr>
            <b/>
            <sz val="9"/>
            <color indexed="81"/>
            <rFont val="Tahoma"/>
            <family val="2"/>
          </rPr>
          <t>&lt;[[DEVDeals] - [Budget Initial (Seq: 1)] - [Budget Initial - User Defined Field Values (Seq: 1)] Other Costs Detail - Other Non HTC Eligible Costs - Send]&gt;</t>
        </r>
      </text>
    </comment>
    <comment ref="H219" authorId="1" shapeId="0" xr:uid="{00000000-0006-0000-2100-0000B6020000}">
      <text>
        <r>
          <rPr>
            <b/>
            <sz val="9"/>
            <color indexed="81"/>
            <rFont val="Tahoma"/>
            <family val="2"/>
          </rPr>
          <t>&lt;[[DEVDeals] - [Budget Initial (Seq: 1)] - [Budget Initial - User Defined Field Values (Seq: 1)] Other Costs Detail - Other Non HTC Eligible Costs Amount - Send]&gt;</t>
        </r>
      </text>
    </comment>
    <comment ref="L219" authorId="1" shapeId="0" xr:uid="{00000000-0006-0000-2100-0000B7020000}">
      <text>
        <r>
          <rPr>
            <b/>
            <sz val="9"/>
            <color indexed="81"/>
            <rFont val="Tahoma"/>
            <family val="2"/>
          </rPr>
          <t>&lt;[[DEVDeals] - [Associated TC Deal (Seq: 1)] - [TC Property Current Stage (Seq: 1)] - [TC Property Current Stage - User Defined Field Values (Seq: 1)] Other Costs Detail - Other Non HTC Eligible Costs - Send]&gt;</t>
        </r>
      </text>
    </comment>
    <comment ref="M219" authorId="1" shapeId="0" xr:uid="{00000000-0006-0000-2100-0000B8020000}">
      <text>
        <r>
          <rPr>
            <b/>
            <sz val="9"/>
            <color indexed="81"/>
            <rFont val="Tahoma"/>
            <family val="2"/>
          </rPr>
          <t>&lt;[[DEVDeals] - [Associated TC Deal (Seq: 1)] - [TC Property Current Stage (Seq: 1)] - [TC Property Current Stage - User Defined Field Values (Seq: 1)] Other Costs Detail - Other Non HTC Eligible Costs Amount - Send]&gt;</t>
        </r>
      </text>
    </comment>
    <comment ref="I224" authorId="0" shapeId="0" xr:uid="{00000000-0006-0000-2100-0000B9020000}">
      <text>
        <r>
          <rPr>
            <b/>
            <sz val="9"/>
            <color indexed="81"/>
            <rFont val="Tahoma"/>
            <family val="2"/>
          </rPr>
          <t>&lt;[[DEVDeals] - [Budget Initial (Seq: 1)] - [Budget Initial - User Defined Field Values (Seq: 1)] TDC - TDC per Unit - Send]&gt;</t>
        </r>
      </text>
    </comment>
    <comment ref="I225" authorId="0" shapeId="0" xr:uid="{00000000-0006-0000-2100-0000BA020000}">
      <text>
        <r>
          <rPr>
            <b/>
            <sz val="9"/>
            <color indexed="81"/>
            <rFont val="Tahoma"/>
            <family val="2"/>
          </rPr>
          <t>&lt;[[DEVDeals] - [Budget Initial (Seq: 1)] - [Budget Initial - User Defined Field Values (Seq: 1)] TDC - TDC per Bedroom - Send]&gt;</t>
        </r>
      </text>
    </comment>
    <comment ref="I226" authorId="0" shapeId="0" xr:uid="{00000000-0006-0000-2100-0000BB020000}">
      <text>
        <r>
          <rPr>
            <b/>
            <sz val="9"/>
            <color indexed="81"/>
            <rFont val="Tahoma"/>
            <family val="2"/>
          </rPr>
          <t>&lt;[[DEVDeals] - [Budget Initial (Seq: 1)] - [Budget Initial - User Defined Field Values (Seq: 1)] TDC - TDC Index - Send]&gt;</t>
        </r>
      </text>
    </comment>
    <comment ref="I227" authorId="0" shapeId="0" xr:uid="{00000000-0006-0000-2100-0000BC020000}">
      <text>
        <r>
          <rPr>
            <b/>
            <sz val="9"/>
            <color indexed="81"/>
            <rFont val="Tahoma"/>
            <family val="2"/>
          </rPr>
          <t>&lt;[[DEVDeals] - [Budget Initial (Seq: 1)] - [Budget Initial - User Defined Field Values (Seq: 1)] TDC - Project Cap - Send]&gt;</t>
        </r>
      </text>
    </comment>
    <comment ref="G232" authorId="1" shapeId="0" xr:uid="{00000000-0006-0000-2100-0000BD020000}">
      <text>
        <r>
          <rPr>
            <b/>
            <sz val="9"/>
            <color indexed="81"/>
            <rFont val="Tahoma"/>
            <family val="2"/>
          </rPr>
          <t>&lt;[[DEVDeals] - [Property (Seq: 1)] - [Locations (Seq: 1)] - [Unit Mix (Seq: 1)] Unit Type - Send]&gt;</t>
        </r>
      </text>
    </comment>
    <comment ref="H232" authorId="1" shapeId="0" xr:uid="{00000000-0006-0000-2100-0000BE020000}">
      <text>
        <r>
          <rPr>
            <b/>
            <sz val="9"/>
            <color indexed="81"/>
            <rFont val="Tahoma"/>
            <family val="2"/>
          </rPr>
          <t>&lt;[[DEVDeals] - [Property (Seq: 1)] - [Locations (Seq: 1)] - [Unit Mix (Seq: 1)] Unit Mix Ami Percent - Send]&gt;</t>
        </r>
      </text>
    </comment>
    <comment ref="I232" authorId="1" shapeId="0" xr:uid="{00000000-0006-0000-2100-0000BF020000}">
      <text>
        <r>
          <rPr>
            <b/>
            <sz val="9"/>
            <color indexed="81"/>
            <rFont val="Tahoma"/>
            <family val="2"/>
          </rPr>
          <t>&lt;[[DEVDeals] - [Property (Seq: 1)] - [Locations (Seq: 1)] - [Unit Mix (Seq: 1)] Num Units - Send]&gt;</t>
        </r>
      </text>
    </comment>
    <comment ref="J232" authorId="1" shapeId="0" xr:uid="{00000000-0006-0000-2100-0000C0020000}">
      <text>
        <r>
          <rPr>
            <b/>
            <sz val="9"/>
            <color indexed="81"/>
            <rFont val="Tahoma"/>
            <family val="2"/>
          </rPr>
          <t>&lt;[[DEVDeals] - [Property (Seq: 1)] - [Locations (Seq: 1)] - [Unit Mix (Seq: 1)] Base Rent - Send]&gt;</t>
        </r>
      </text>
    </comment>
    <comment ref="L232" authorId="1" shapeId="0" xr:uid="{00000000-0006-0000-2100-0000C1020000}">
      <text>
        <r>
          <rPr>
            <b/>
            <sz val="9"/>
            <color indexed="81"/>
            <rFont val="Tahoma"/>
            <family val="2"/>
          </rPr>
          <t>&lt;[[DEVDeals] - [Associated TC Deal (Seq: 1)] - [TC Property Current Stage (Seq: 1)] - [Unit Mix (Seq: 1)] TC Unit Mix Type - Send]&gt;</t>
        </r>
      </text>
    </comment>
    <comment ref="M232" authorId="1" shapeId="0" xr:uid="{00000000-0006-0000-2100-0000C2020000}">
      <text>
        <r>
          <rPr>
            <b/>
            <sz val="9"/>
            <color indexed="81"/>
            <rFont val="Tahoma"/>
            <family val="2"/>
          </rPr>
          <t>&lt;[[DEVDeals] - [Associated TC Deal (Seq: 1)] - [TC Property Current Stage (Seq: 1)] - [Unit Mix (Seq: 1)] Income Target - Send]&gt;</t>
        </r>
      </text>
    </comment>
    <comment ref="N232" authorId="1" shapeId="0" xr:uid="{00000000-0006-0000-2100-0000C3020000}">
      <text>
        <r>
          <rPr>
            <b/>
            <sz val="9"/>
            <color indexed="81"/>
            <rFont val="Tahoma"/>
            <family val="2"/>
          </rPr>
          <t>&lt;[[DEVDeals] - [Associated TC Deal (Seq: 1)] - [TC Property Current Stage (Seq: 1)] - [Unit Mix (Seq: 1)] Num Units - Send]&gt;</t>
        </r>
      </text>
    </comment>
    <comment ref="O232" authorId="1" shapeId="0" xr:uid="{00000000-0006-0000-2100-0000C4020000}">
      <text>
        <r>
          <rPr>
            <b/>
            <sz val="9"/>
            <color indexed="81"/>
            <rFont val="Tahoma"/>
            <family val="2"/>
          </rPr>
          <t>&lt;[[DEVDeals] - [Associated TC Deal (Seq: 1)] - [TC Property Current Stage (Seq: 1)] - [Unit Mix (Seq: 1)] Monthly Rent Per Unit - Send]&gt;</t>
        </r>
      </text>
    </comment>
    <comment ref="G233" authorId="1" shapeId="0" xr:uid="{00000000-0006-0000-2100-0000C5020000}">
      <text>
        <r>
          <rPr>
            <b/>
            <sz val="9"/>
            <color indexed="81"/>
            <rFont val="Tahoma"/>
            <family val="2"/>
          </rPr>
          <t>&lt;[[DEVDeals] - [Property (Seq: 1)] - [Locations (Seq: 1)] - [Unit Mix (Seq: 2)] Unit Type - Send]&gt;</t>
        </r>
      </text>
    </comment>
    <comment ref="H233" authorId="1" shapeId="0" xr:uid="{00000000-0006-0000-2100-0000C6020000}">
      <text>
        <r>
          <rPr>
            <b/>
            <sz val="9"/>
            <color indexed="81"/>
            <rFont val="Tahoma"/>
            <family val="2"/>
          </rPr>
          <t>&lt;[[DEVDeals] - [Property (Seq: 1)] - [Locations (Seq: 1)] - [Unit Mix (Seq: 2)] Unit Mix Ami Percent - Send]&gt;</t>
        </r>
      </text>
    </comment>
    <comment ref="I233" authorId="1" shapeId="0" xr:uid="{00000000-0006-0000-2100-0000C7020000}">
      <text>
        <r>
          <rPr>
            <b/>
            <sz val="9"/>
            <color indexed="81"/>
            <rFont val="Tahoma"/>
            <family val="2"/>
          </rPr>
          <t>&lt;[[DEVDeals] - [Property (Seq: 1)] - [Locations (Seq: 1)] - [Unit Mix (Seq: 2)] Num Units - Send]&gt;</t>
        </r>
      </text>
    </comment>
    <comment ref="J233" authorId="1" shapeId="0" xr:uid="{00000000-0006-0000-2100-0000C8020000}">
      <text>
        <r>
          <rPr>
            <b/>
            <sz val="9"/>
            <color indexed="81"/>
            <rFont val="Tahoma"/>
            <family val="2"/>
          </rPr>
          <t>&lt;[[DEVDeals] - [Property (Seq: 1)] - [Locations (Seq: 1)] - [Unit Mix (Seq: 2)] Base Rent - Send]&gt;</t>
        </r>
      </text>
    </comment>
    <comment ref="L233" authorId="1" shapeId="0" xr:uid="{00000000-0006-0000-2100-0000C9020000}">
      <text>
        <r>
          <rPr>
            <b/>
            <sz val="9"/>
            <color indexed="81"/>
            <rFont val="Tahoma"/>
            <family val="2"/>
          </rPr>
          <t>&lt;[[DEVDeals] - [Associated TC Deal (Seq: 1)] - [TC Property Current Stage (Seq: 1)] - [Unit Mix (Seq: 2)] TC Unit Mix Type - Send]&gt;</t>
        </r>
      </text>
    </comment>
    <comment ref="M233" authorId="1" shapeId="0" xr:uid="{00000000-0006-0000-2100-0000CA020000}">
      <text>
        <r>
          <rPr>
            <b/>
            <sz val="9"/>
            <color indexed="81"/>
            <rFont val="Tahoma"/>
            <family val="2"/>
          </rPr>
          <t>&lt;[[DEVDeals] - [Associated TC Deal (Seq: 1)] - [TC Property Current Stage (Seq: 1)] - [Unit Mix (Seq: 2)] Income Target - Send]&gt;</t>
        </r>
      </text>
    </comment>
    <comment ref="N233" authorId="1" shapeId="0" xr:uid="{00000000-0006-0000-2100-0000CB020000}">
      <text>
        <r>
          <rPr>
            <b/>
            <sz val="9"/>
            <color indexed="81"/>
            <rFont val="Tahoma"/>
            <family val="2"/>
          </rPr>
          <t>&lt;[[DEVDeals] - [Associated TC Deal (Seq: 1)] - [TC Property Current Stage (Seq: 1)] - [Unit Mix (Seq: 2)] Num Units - Send]&gt;</t>
        </r>
      </text>
    </comment>
    <comment ref="O233" authorId="1" shapeId="0" xr:uid="{00000000-0006-0000-2100-0000CC020000}">
      <text>
        <r>
          <rPr>
            <b/>
            <sz val="9"/>
            <color indexed="81"/>
            <rFont val="Tahoma"/>
            <family val="2"/>
          </rPr>
          <t>&lt;[[DEVDeals] - [Associated TC Deal (Seq: 1)] - [TC Property Current Stage (Seq: 1)] - [Unit Mix (Seq: 2)] Monthly Rent Per Unit - Send]&gt;</t>
        </r>
      </text>
    </comment>
    <comment ref="G234" authorId="1" shapeId="0" xr:uid="{00000000-0006-0000-2100-0000CD020000}">
      <text>
        <r>
          <rPr>
            <b/>
            <sz val="9"/>
            <color indexed="81"/>
            <rFont val="Tahoma"/>
            <family val="2"/>
          </rPr>
          <t>&lt;[[DEVDeals] - [Property (Seq: 1)] - [Locations (Seq: 1)] - [Unit Mix (Seq: 3)] Unit Type - Send]&gt;</t>
        </r>
      </text>
    </comment>
    <comment ref="H234" authorId="1" shapeId="0" xr:uid="{00000000-0006-0000-2100-0000CE020000}">
      <text>
        <r>
          <rPr>
            <b/>
            <sz val="9"/>
            <color indexed="81"/>
            <rFont val="Tahoma"/>
            <family val="2"/>
          </rPr>
          <t>&lt;[[DEVDeals] - [Property (Seq: 1)] - [Locations (Seq: 1)] - [Unit Mix (Seq: 3)] Unit Mix Ami Percent - Send]&gt;</t>
        </r>
      </text>
    </comment>
    <comment ref="I234" authorId="1" shapeId="0" xr:uid="{00000000-0006-0000-2100-0000CF020000}">
      <text>
        <r>
          <rPr>
            <b/>
            <sz val="9"/>
            <color indexed="81"/>
            <rFont val="Tahoma"/>
            <family val="2"/>
          </rPr>
          <t>&lt;[[DEVDeals] - [Property (Seq: 1)] - [Locations (Seq: 1)] - [Unit Mix (Seq: 3)] Num Units - Send]&gt;</t>
        </r>
      </text>
    </comment>
    <comment ref="J234" authorId="1" shapeId="0" xr:uid="{00000000-0006-0000-2100-0000D0020000}">
      <text>
        <r>
          <rPr>
            <b/>
            <sz val="9"/>
            <color indexed="81"/>
            <rFont val="Tahoma"/>
            <family val="2"/>
          </rPr>
          <t>&lt;[[DEVDeals] - [Property (Seq: 1)] - [Locations (Seq: 1)] - [Unit Mix (Seq: 3)] Base Rent - Send]&gt;</t>
        </r>
      </text>
    </comment>
    <comment ref="L234" authorId="1" shapeId="0" xr:uid="{00000000-0006-0000-2100-0000D1020000}">
      <text>
        <r>
          <rPr>
            <b/>
            <sz val="9"/>
            <color indexed="81"/>
            <rFont val="Tahoma"/>
            <family val="2"/>
          </rPr>
          <t>&lt;[[DEVDeals] - [Associated TC Deal (Seq: 1)] - [TC Property Current Stage (Seq: 1)] - [Unit Mix (Seq: 3)] TC Unit Mix Type - Send]&gt;</t>
        </r>
      </text>
    </comment>
    <comment ref="M234" authorId="1" shapeId="0" xr:uid="{00000000-0006-0000-2100-0000D2020000}">
      <text>
        <r>
          <rPr>
            <b/>
            <sz val="9"/>
            <color indexed="81"/>
            <rFont val="Tahoma"/>
            <family val="2"/>
          </rPr>
          <t>&lt;[[DEVDeals] - [Associated TC Deal (Seq: 1)] - [TC Property Current Stage (Seq: 1)] - [Unit Mix (Seq: 3)] Income Target - Send]&gt;</t>
        </r>
      </text>
    </comment>
    <comment ref="N234" authorId="1" shapeId="0" xr:uid="{00000000-0006-0000-2100-0000D3020000}">
      <text>
        <r>
          <rPr>
            <b/>
            <sz val="9"/>
            <color indexed="81"/>
            <rFont val="Tahoma"/>
            <family val="2"/>
          </rPr>
          <t>&lt;[[DEVDeals] - [Associated TC Deal (Seq: 1)] - [TC Property Current Stage (Seq: 1)] - [Unit Mix (Seq: 3)] Num Units - Send]&gt;</t>
        </r>
      </text>
    </comment>
    <comment ref="O234" authorId="1" shapeId="0" xr:uid="{00000000-0006-0000-2100-0000D4020000}">
      <text>
        <r>
          <rPr>
            <b/>
            <sz val="9"/>
            <color indexed="81"/>
            <rFont val="Tahoma"/>
            <family val="2"/>
          </rPr>
          <t>&lt;[[DEVDeals] - [Associated TC Deal (Seq: 1)] - [TC Property Current Stage (Seq: 1)] - [Unit Mix (Seq: 3)] Monthly Rent Per Unit - Send]&gt;</t>
        </r>
      </text>
    </comment>
    <comment ref="G235" authorId="1" shapeId="0" xr:uid="{00000000-0006-0000-2100-0000D5020000}">
      <text>
        <r>
          <rPr>
            <b/>
            <sz val="9"/>
            <color indexed="81"/>
            <rFont val="Tahoma"/>
            <family val="2"/>
          </rPr>
          <t>&lt;[[DEVDeals] - [Property (Seq: 1)] - [Locations (Seq: 1)] - [Unit Mix (Seq: 4)] Unit Type - Send]&gt;</t>
        </r>
      </text>
    </comment>
    <comment ref="H235" authorId="1" shapeId="0" xr:uid="{00000000-0006-0000-2100-0000D6020000}">
      <text>
        <r>
          <rPr>
            <b/>
            <sz val="9"/>
            <color indexed="81"/>
            <rFont val="Tahoma"/>
            <family val="2"/>
          </rPr>
          <t>&lt;[[DEVDeals] - [Property (Seq: 1)] - [Locations (Seq: 1)] - [Unit Mix (Seq: 4)] Unit Mix Ami Percent - Send]&gt;</t>
        </r>
      </text>
    </comment>
    <comment ref="I235" authorId="1" shapeId="0" xr:uid="{00000000-0006-0000-2100-0000D7020000}">
      <text>
        <r>
          <rPr>
            <b/>
            <sz val="9"/>
            <color indexed="81"/>
            <rFont val="Tahoma"/>
            <family val="2"/>
          </rPr>
          <t>&lt;[[DEVDeals] - [Property (Seq: 1)] - [Locations (Seq: 1)] - [Unit Mix (Seq: 4)] Num Units - Send]&gt;</t>
        </r>
      </text>
    </comment>
    <comment ref="J235" authorId="1" shapeId="0" xr:uid="{00000000-0006-0000-2100-0000D8020000}">
      <text>
        <r>
          <rPr>
            <b/>
            <sz val="9"/>
            <color indexed="81"/>
            <rFont val="Tahoma"/>
            <family val="2"/>
          </rPr>
          <t>&lt;[[DEVDeals] - [Property (Seq: 1)] - [Locations (Seq: 1)] - [Unit Mix (Seq: 4)] Base Rent - Send]&gt;</t>
        </r>
      </text>
    </comment>
    <comment ref="L235" authorId="1" shapeId="0" xr:uid="{00000000-0006-0000-2100-0000D9020000}">
      <text>
        <r>
          <rPr>
            <b/>
            <sz val="9"/>
            <color indexed="81"/>
            <rFont val="Tahoma"/>
            <family val="2"/>
          </rPr>
          <t>&lt;[[DEVDeals] - [Associated TC Deal (Seq: 1)] - [TC Property Current Stage (Seq: 1)] - [Unit Mix (Seq: 4)] TC Unit Mix Type - Send]&gt;</t>
        </r>
      </text>
    </comment>
    <comment ref="M235" authorId="1" shapeId="0" xr:uid="{00000000-0006-0000-2100-0000DA020000}">
      <text>
        <r>
          <rPr>
            <b/>
            <sz val="9"/>
            <color indexed="81"/>
            <rFont val="Tahoma"/>
            <family val="2"/>
          </rPr>
          <t>&lt;[[DEVDeals] - [Associated TC Deal (Seq: 1)] - [TC Property Current Stage (Seq: 1)] - [Unit Mix (Seq: 4)] Income Target - Send]&gt;</t>
        </r>
      </text>
    </comment>
    <comment ref="N235" authorId="1" shapeId="0" xr:uid="{00000000-0006-0000-2100-0000DB020000}">
      <text>
        <r>
          <rPr>
            <b/>
            <sz val="9"/>
            <color indexed="81"/>
            <rFont val="Tahoma"/>
            <family val="2"/>
          </rPr>
          <t>&lt;[[DEVDeals] - [Associated TC Deal (Seq: 1)] - [TC Property Current Stage (Seq: 1)] - [Unit Mix (Seq: 4)] Num Units - Send]&gt;</t>
        </r>
      </text>
    </comment>
    <comment ref="O235" authorId="1" shapeId="0" xr:uid="{00000000-0006-0000-2100-0000DC020000}">
      <text>
        <r>
          <rPr>
            <b/>
            <sz val="9"/>
            <color indexed="81"/>
            <rFont val="Tahoma"/>
            <family val="2"/>
          </rPr>
          <t>&lt;[[DEVDeals] - [Associated TC Deal (Seq: 1)] - [TC Property Current Stage (Seq: 1)] - [Unit Mix (Seq: 4)] Monthly Rent Per Unit - Send]&gt;</t>
        </r>
      </text>
    </comment>
    <comment ref="G236" authorId="1" shapeId="0" xr:uid="{00000000-0006-0000-2100-0000DD020000}">
      <text>
        <r>
          <rPr>
            <b/>
            <sz val="9"/>
            <color indexed="81"/>
            <rFont val="Tahoma"/>
            <family val="2"/>
          </rPr>
          <t>&lt;[[DEVDeals] - [Property (Seq: 1)] - [Locations (Seq: 1)] - [Unit Mix (Seq: 5)] Unit Type - Send]&gt;</t>
        </r>
      </text>
    </comment>
    <comment ref="H236" authorId="1" shapeId="0" xr:uid="{00000000-0006-0000-2100-0000DE020000}">
      <text>
        <r>
          <rPr>
            <b/>
            <sz val="9"/>
            <color indexed="81"/>
            <rFont val="Tahoma"/>
            <family val="2"/>
          </rPr>
          <t>&lt;[[DEVDeals] - [Property (Seq: 1)] - [Locations (Seq: 1)] - [Unit Mix (Seq: 5)] Unit Mix Ami Percent - Send]&gt;</t>
        </r>
      </text>
    </comment>
    <comment ref="I236" authorId="1" shapeId="0" xr:uid="{00000000-0006-0000-2100-0000DF020000}">
      <text>
        <r>
          <rPr>
            <b/>
            <sz val="9"/>
            <color indexed="81"/>
            <rFont val="Tahoma"/>
            <family val="2"/>
          </rPr>
          <t>&lt;[[DEVDeals] - [Property (Seq: 1)] - [Locations (Seq: 1)] - [Unit Mix (Seq: 5)] Num Units - Send]&gt;</t>
        </r>
      </text>
    </comment>
    <comment ref="J236" authorId="1" shapeId="0" xr:uid="{00000000-0006-0000-2100-0000E0020000}">
      <text>
        <r>
          <rPr>
            <b/>
            <sz val="9"/>
            <color indexed="81"/>
            <rFont val="Tahoma"/>
            <family val="2"/>
          </rPr>
          <t>&lt;[[DEVDeals] - [Property (Seq: 1)] - [Locations (Seq: 1)] - [Unit Mix (Seq: 5)] Base Rent - Send]&gt;</t>
        </r>
      </text>
    </comment>
    <comment ref="L236" authorId="1" shapeId="0" xr:uid="{00000000-0006-0000-2100-0000E1020000}">
      <text>
        <r>
          <rPr>
            <b/>
            <sz val="9"/>
            <color indexed="81"/>
            <rFont val="Tahoma"/>
            <family val="2"/>
          </rPr>
          <t>&lt;[[DEVDeals] - [Associated TC Deal (Seq: 1)] - [TC Property Current Stage (Seq: 1)] - [Unit Mix (Seq: 5)] TC Unit Mix Type - Send]&gt;</t>
        </r>
      </text>
    </comment>
    <comment ref="M236" authorId="1" shapeId="0" xr:uid="{00000000-0006-0000-2100-0000E2020000}">
      <text>
        <r>
          <rPr>
            <b/>
            <sz val="9"/>
            <color indexed="81"/>
            <rFont val="Tahoma"/>
            <family val="2"/>
          </rPr>
          <t>&lt;[[DEVDeals] - [Associated TC Deal (Seq: 1)] - [TC Property Current Stage (Seq: 1)] - [Unit Mix (Seq: 5)] Income Target - Send]&gt;</t>
        </r>
      </text>
    </comment>
    <comment ref="N236" authorId="1" shapeId="0" xr:uid="{00000000-0006-0000-2100-0000E3020000}">
      <text>
        <r>
          <rPr>
            <b/>
            <sz val="9"/>
            <color indexed="81"/>
            <rFont val="Tahoma"/>
            <family val="2"/>
          </rPr>
          <t>&lt;[[DEVDeals] - [Associated TC Deal (Seq: 1)] - [TC Property Current Stage (Seq: 1)] - [Unit Mix (Seq: 5)] Num Units - Send]&gt;</t>
        </r>
      </text>
    </comment>
    <comment ref="O236" authorId="1" shapeId="0" xr:uid="{00000000-0006-0000-2100-0000E4020000}">
      <text>
        <r>
          <rPr>
            <b/>
            <sz val="9"/>
            <color indexed="81"/>
            <rFont val="Tahoma"/>
            <family val="2"/>
          </rPr>
          <t>&lt;[[DEVDeals] - [Associated TC Deal (Seq: 1)] - [TC Property Current Stage (Seq: 1)] - [Unit Mix (Seq: 5)] Monthly Rent Per Unit - Send]&gt;</t>
        </r>
      </text>
    </comment>
    <comment ref="G237" authorId="1" shapeId="0" xr:uid="{00000000-0006-0000-2100-0000E5020000}">
      <text>
        <r>
          <rPr>
            <b/>
            <sz val="9"/>
            <color indexed="81"/>
            <rFont val="Tahoma"/>
            <family val="2"/>
          </rPr>
          <t>&lt;[[DEVDeals] - [Property (Seq: 1)] - [Locations (Seq: 1)] - [Unit Mix (Seq: 6)] Unit Type - Send]&gt;</t>
        </r>
      </text>
    </comment>
    <comment ref="H237" authorId="1" shapeId="0" xr:uid="{00000000-0006-0000-2100-0000E6020000}">
      <text>
        <r>
          <rPr>
            <b/>
            <sz val="9"/>
            <color indexed="81"/>
            <rFont val="Tahoma"/>
            <family val="2"/>
          </rPr>
          <t>&lt;[[DEVDeals] - [Property (Seq: 1)] - [Locations (Seq: 1)] - [Unit Mix (Seq: 6)] Unit Mix Ami Percent - Send]&gt;</t>
        </r>
      </text>
    </comment>
    <comment ref="I237" authorId="1" shapeId="0" xr:uid="{00000000-0006-0000-2100-0000E7020000}">
      <text>
        <r>
          <rPr>
            <b/>
            <sz val="9"/>
            <color indexed="81"/>
            <rFont val="Tahoma"/>
            <family val="2"/>
          </rPr>
          <t>&lt;[[DEVDeals] - [Property (Seq: 1)] - [Locations (Seq: 1)] - [Unit Mix (Seq: 6)] Num Units - Send]&gt;</t>
        </r>
      </text>
    </comment>
    <comment ref="J237" authorId="1" shapeId="0" xr:uid="{00000000-0006-0000-2100-0000E8020000}">
      <text>
        <r>
          <rPr>
            <b/>
            <sz val="9"/>
            <color indexed="81"/>
            <rFont val="Tahoma"/>
            <family val="2"/>
          </rPr>
          <t>&lt;[[DEVDeals] - [Property (Seq: 1)] - [Locations (Seq: 1)] - [Unit Mix (Seq: 6)] Base Rent - Send]&gt;</t>
        </r>
      </text>
    </comment>
    <comment ref="L237" authorId="1" shapeId="0" xr:uid="{00000000-0006-0000-2100-0000E9020000}">
      <text>
        <r>
          <rPr>
            <b/>
            <sz val="9"/>
            <color indexed="81"/>
            <rFont val="Tahoma"/>
            <family val="2"/>
          </rPr>
          <t>&lt;[[DEVDeals] - [Associated TC Deal (Seq: 1)] - [TC Property Current Stage (Seq: 1)] - [Unit Mix (Seq: 6)] TC Unit Mix Type - Send]&gt;</t>
        </r>
      </text>
    </comment>
    <comment ref="M237" authorId="1" shapeId="0" xr:uid="{00000000-0006-0000-2100-0000EA020000}">
      <text>
        <r>
          <rPr>
            <b/>
            <sz val="9"/>
            <color indexed="81"/>
            <rFont val="Tahoma"/>
            <family val="2"/>
          </rPr>
          <t>&lt;[[DEVDeals] - [Associated TC Deal (Seq: 1)] - [TC Property Current Stage (Seq: 1)] - [Unit Mix (Seq: 6)] Income Target - Send]&gt;</t>
        </r>
      </text>
    </comment>
    <comment ref="N237" authorId="1" shapeId="0" xr:uid="{00000000-0006-0000-2100-0000EB020000}">
      <text>
        <r>
          <rPr>
            <b/>
            <sz val="9"/>
            <color indexed="81"/>
            <rFont val="Tahoma"/>
            <family val="2"/>
          </rPr>
          <t>&lt;[[DEVDeals] - [Associated TC Deal (Seq: 1)] - [TC Property Current Stage (Seq: 1)] - [Unit Mix (Seq: 6)] Num Units - Send]&gt;</t>
        </r>
      </text>
    </comment>
    <comment ref="O237" authorId="1" shapeId="0" xr:uid="{00000000-0006-0000-2100-0000EC020000}">
      <text>
        <r>
          <rPr>
            <b/>
            <sz val="9"/>
            <color indexed="81"/>
            <rFont val="Tahoma"/>
            <family val="2"/>
          </rPr>
          <t>&lt;[[DEVDeals] - [Associated TC Deal (Seq: 1)] - [TC Property Current Stage (Seq: 1)] - [Unit Mix (Seq: 6)] Monthly Rent Per Unit - Send]&gt;</t>
        </r>
      </text>
    </comment>
    <comment ref="G238" authorId="1" shapeId="0" xr:uid="{00000000-0006-0000-2100-0000ED020000}">
      <text>
        <r>
          <rPr>
            <b/>
            <sz val="9"/>
            <color indexed="81"/>
            <rFont val="Tahoma"/>
            <family val="2"/>
          </rPr>
          <t>&lt;[[DEVDeals] - [Property (Seq: 1)] - [Locations (Seq: 1)] - [Unit Mix (Seq: 7)] Unit Type - Send]&gt;</t>
        </r>
      </text>
    </comment>
    <comment ref="H238" authorId="1" shapeId="0" xr:uid="{00000000-0006-0000-2100-0000EE020000}">
      <text>
        <r>
          <rPr>
            <b/>
            <sz val="9"/>
            <color indexed="81"/>
            <rFont val="Tahoma"/>
            <family val="2"/>
          </rPr>
          <t>&lt;[[DEVDeals] - [Property (Seq: 1)] - [Locations (Seq: 1)] - [Unit Mix (Seq: 7)] Unit Mix Ami Percent - Send]&gt;</t>
        </r>
      </text>
    </comment>
    <comment ref="I238" authorId="1" shapeId="0" xr:uid="{00000000-0006-0000-2100-0000EF020000}">
      <text>
        <r>
          <rPr>
            <b/>
            <sz val="9"/>
            <color indexed="81"/>
            <rFont val="Tahoma"/>
            <family val="2"/>
          </rPr>
          <t>&lt;[[DEVDeals] - [Property (Seq: 1)] - [Locations (Seq: 1)] - [Unit Mix (Seq: 7)] Num Units - Send]&gt;</t>
        </r>
      </text>
    </comment>
    <comment ref="J238" authorId="1" shapeId="0" xr:uid="{00000000-0006-0000-2100-0000F0020000}">
      <text>
        <r>
          <rPr>
            <b/>
            <sz val="9"/>
            <color indexed="81"/>
            <rFont val="Tahoma"/>
            <family val="2"/>
          </rPr>
          <t>&lt;[[DEVDeals] - [Property (Seq: 1)] - [Locations (Seq: 1)] - [Unit Mix (Seq: 7)] Base Rent - Send]&gt;</t>
        </r>
      </text>
    </comment>
    <comment ref="L238" authorId="1" shapeId="0" xr:uid="{00000000-0006-0000-2100-0000F1020000}">
      <text>
        <r>
          <rPr>
            <b/>
            <sz val="9"/>
            <color indexed="81"/>
            <rFont val="Tahoma"/>
            <family val="2"/>
          </rPr>
          <t>&lt;[[DEVDeals] - [Associated TC Deal (Seq: 1)] - [TC Property Current Stage (Seq: 1)] - [Unit Mix (Seq: 7)] TC Unit Mix Type - Send]&gt;</t>
        </r>
      </text>
    </comment>
    <comment ref="M238" authorId="1" shapeId="0" xr:uid="{00000000-0006-0000-2100-0000F2020000}">
      <text>
        <r>
          <rPr>
            <b/>
            <sz val="9"/>
            <color indexed="81"/>
            <rFont val="Tahoma"/>
            <family val="2"/>
          </rPr>
          <t>&lt;[[DEVDeals] - [Associated TC Deal (Seq: 1)] - [TC Property Current Stage (Seq: 1)] - [Unit Mix (Seq: 7)] Income Target - Send]&gt;</t>
        </r>
      </text>
    </comment>
    <comment ref="N238" authorId="1" shapeId="0" xr:uid="{00000000-0006-0000-2100-0000F3020000}">
      <text>
        <r>
          <rPr>
            <b/>
            <sz val="9"/>
            <color indexed="81"/>
            <rFont val="Tahoma"/>
            <family val="2"/>
          </rPr>
          <t>&lt;[[DEVDeals] - [Associated TC Deal (Seq: 1)] - [TC Property Current Stage (Seq: 1)] - [Unit Mix (Seq: 7)] Num Units - Send]&gt;</t>
        </r>
      </text>
    </comment>
    <comment ref="O238" authorId="1" shapeId="0" xr:uid="{00000000-0006-0000-2100-0000F4020000}">
      <text>
        <r>
          <rPr>
            <b/>
            <sz val="9"/>
            <color indexed="81"/>
            <rFont val="Tahoma"/>
            <family val="2"/>
          </rPr>
          <t>&lt;[[DEVDeals] - [Associated TC Deal (Seq: 1)] - [TC Property Current Stage (Seq: 1)] - [Unit Mix (Seq: 7)] Monthly Rent Per Unit - Send]&gt;</t>
        </r>
      </text>
    </comment>
    <comment ref="G239" authorId="1" shapeId="0" xr:uid="{00000000-0006-0000-2100-0000F5020000}">
      <text>
        <r>
          <rPr>
            <b/>
            <sz val="9"/>
            <color indexed="81"/>
            <rFont val="Tahoma"/>
            <family val="2"/>
          </rPr>
          <t>&lt;[[DEVDeals] - [Property (Seq: 1)] - [Locations (Seq: 1)] - [Unit Mix (Seq: 8)] Unit Type - Send]&gt;</t>
        </r>
      </text>
    </comment>
    <comment ref="H239" authorId="1" shapeId="0" xr:uid="{00000000-0006-0000-2100-0000F6020000}">
      <text>
        <r>
          <rPr>
            <b/>
            <sz val="9"/>
            <color indexed="81"/>
            <rFont val="Tahoma"/>
            <family val="2"/>
          </rPr>
          <t>&lt;[[DEVDeals] - [Property (Seq: 1)] - [Locations (Seq: 1)] - [Unit Mix (Seq: 8)] Unit Mix Ami Percent - Send]&gt;</t>
        </r>
      </text>
    </comment>
    <comment ref="I239" authorId="1" shapeId="0" xr:uid="{00000000-0006-0000-2100-0000F7020000}">
      <text>
        <r>
          <rPr>
            <b/>
            <sz val="9"/>
            <color indexed="81"/>
            <rFont val="Tahoma"/>
            <family val="2"/>
          </rPr>
          <t>&lt;[[DEVDeals] - [Property (Seq: 1)] - [Locations (Seq: 1)] - [Unit Mix (Seq: 8)] Num Units - Send]&gt;</t>
        </r>
      </text>
    </comment>
    <comment ref="J239" authorId="1" shapeId="0" xr:uid="{00000000-0006-0000-2100-0000F8020000}">
      <text>
        <r>
          <rPr>
            <b/>
            <sz val="9"/>
            <color indexed="81"/>
            <rFont val="Tahoma"/>
            <family val="2"/>
          </rPr>
          <t>&lt;[[DEVDeals] - [Property (Seq: 1)] - [Locations (Seq: 1)] - [Unit Mix (Seq: 8)] Base Rent - Send]&gt;</t>
        </r>
      </text>
    </comment>
    <comment ref="L239" authorId="1" shapeId="0" xr:uid="{00000000-0006-0000-2100-0000F9020000}">
      <text>
        <r>
          <rPr>
            <b/>
            <sz val="9"/>
            <color indexed="81"/>
            <rFont val="Tahoma"/>
            <family val="2"/>
          </rPr>
          <t>&lt;[[DEVDeals] - [Associated TC Deal (Seq: 1)] - [TC Property Current Stage (Seq: 1)] - [Unit Mix (Seq: 8)] TC Unit Mix Type - Send]&gt;</t>
        </r>
      </text>
    </comment>
    <comment ref="M239" authorId="1" shapeId="0" xr:uid="{00000000-0006-0000-2100-0000FA020000}">
      <text>
        <r>
          <rPr>
            <b/>
            <sz val="9"/>
            <color indexed="81"/>
            <rFont val="Tahoma"/>
            <family val="2"/>
          </rPr>
          <t>&lt;[[DEVDeals] - [Associated TC Deal (Seq: 1)] - [TC Property Current Stage (Seq: 1)] - [Unit Mix (Seq: 8)] Income Target - Send]&gt;</t>
        </r>
      </text>
    </comment>
    <comment ref="N239" authorId="1" shapeId="0" xr:uid="{00000000-0006-0000-2100-0000FB020000}">
      <text>
        <r>
          <rPr>
            <b/>
            <sz val="9"/>
            <color indexed="81"/>
            <rFont val="Tahoma"/>
            <family val="2"/>
          </rPr>
          <t>&lt;[[DEVDeals] - [Associated TC Deal (Seq: 1)] - [TC Property Current Stage (Seq: 1)] - [Unit Mix (Seq: 8)] Num Units - Send]&gt;</t>
        </r>
      </text>
    </comment>
    <comment ref="O239" authorId="1" shapeId="0" xr:uid="{00000000-0006-0000-2100-0000FC020000}">
      <text>
        <r>
          <rPr>
            <b/>
            <sz val="9"/>
            <color indexed="81"/>
            <rFont val="Tahoma"/>
            <family val="2"/>
          </rPr>
          <t>&lt;[[DEVDeals] - [Associated TC Deal (Seq: 1)] - [TC Property Current Stage (Seq: 1)] - [Unit Mix (Seq: 8)] Monthly Rent Per Unit - Send]&gt;</t>
        </r>
      </text>
    </comment>
    <comment ref="G240" authorId="1" shapeId="0" xr:uid="{00000000-0006-0000-2100-0000FD020000}">
      <text>
        <r>
          <rPr>
            <b/>
            <sz val="9"/>
            <color indexed="81"/>
            <rFont val="Tahoma"/>
            <family val="2"/>
          </rPr>
          <t>&lt;[[DEVDeals] - [Property (Seq: 1)] - [Locations (Seq: 1)] - [Unit Mix (Seq: 9)] Unit Type - Send]&gt;</t>
        </r>
      </text>
    </comment>
    <comment ref="H240" authorId="1" shapeId="0" xr:uid="{00000000-0006-0000-2100-0000FE020000}">
      <text>
        <r>
          <rPr>
            <b/>
            <sz val="9"/>
            <color indexed="81"/>
            <rFont val="Tahoma"/>
            <family val="2"/>
          </rPr>
          <t>&lt;[[DEVDeals] - [Property (Seq: 1)] - [Locations (Seq: 1)] - [Unit Mix (Seq: 9)] Unit Mix Ami Percent - Send]&gt;</t>
        </r>
      </text>
    </comment>
    <comment ref="I240" authorId="1" shapeId="0" xr:uid="{00000000-0006-0000-2100-0000FF020000}">
      <text>
        <r>
          <rPr>
            <b/>
            <sz val="9"/>
            <color indexed="81"/>
            <rFont val="Tahoma"/>
            <family val="2"/>
          </rPr>
          <t>&lt;[[DEVDeals] - [Property (Seq: 1)] - [Locations (Seq: 1)] - [Unit Mix (Seq: 9)] Num Units - Send]&gt;</t>
        </r>
      </text>
    </comment>
    <comment ref="J240" authorId="1" shapeId="0" xr:uid="{00000000-0006-0000-2100-000000030000}">
      <text>
        <r>
          <rPr>
            <b/>
            <sz val="9"/>
            <color indexed="81"/>
            <rFont val="Tahoma"/>
            <family val="2"/>
          </rPr>
          <t>&lt;[[DEVDeals] - [Property (Seq: 1)] - [Locations (Seq: 1)] - [Unit Mix (Seq: 9)] Base Rent - Send]&gt;</t>
        </r>
      </text>
    </comment>
    <comment ref="L240" authorId="1" shapeId="0" xr:uid="{00000000-0006-0000-2100-000001030000}">
      <text>
        <r>
          <rPr>
            <b/>
            <sz val="9"/>
            <color indexed="81"/>
            <rFont val="Tahoma"/>
            <family val="2"/>
          </rPr>
          <t>&lt;[[DEVDeals] - [Associated TC Deal (Seq: 1)] - [TC Property Current Stage (Seq: 1)] - [Unit Mix (Seq: 9)] TC Unit Mix Type - Send]&gt;</t>
        </r>
      </text>
    </comment>
    <comment ref="M240" authorId="1" shapeId="0" xr:uid="{00000000-0006-0000-2100-000002030000}">
      <text>
        <r>
          <rPr>
            <b/>
            <sz val="9"/>
            <color indexed="81"/>
            <rFont val="Tahoma"/>
            <family val="2"/>
          </rPr>
          <t>&lt;[[DEVDeals] - [Associated TC Deal (Seq: 1)] - [TC Property Current Stage (Seq: 1)] - [Unit Mix (Seq: 9)] Income Target - Send]&gt;</t>
        </r>
      </text>
    </comment>
    <comment ref="N240" authorId="1" shapeId="0" xr:uid="{00000000-0006-0000-2100-000003030000}">
      <text>
        <r>
          <rPr>
            <b/>
            <sz val="9"/>
            <color indexed="81"/>
            <rFont val="Tahoma"/>
            <family val="2"/>
          </rPr>
          <t>&lt;[[DEVDeals] - [Associated TC Deal (Seq: 1)] - [TC Property Current Stage (Seq: 1)] - [Unit Mix (Seq: 9)] Num Units - Send]&gt;</t>
        </r>
      </text>
    </comment>
    <comment ref="O240" authorId="1" shapeId="0" xr:uid="{00000000-0006-0000-2100-000004030000}">
      <text>
        <r>
          <rPr>
            <b/>
            <sz val="9"/>
            <color indexed="81"/>
            <rFont val="Tahoma"/>
            <family val="2"/>
          </rPr>
          <t>&lt;[[DEVDeals] - [Associated TC Deal (Seq: 1)] - [TC Property Current Stage (Seq: 1)] - [Unit Mix (Seq: 9)] Monthly Rent Per Unit - Send]&gt;</t>
        </r>
      </text>
    </comment>
    <comment ref="G241" authorId="1" shapeId="0" xr:uid="{00000000-0006-0000-2100-000005030000}">
      <text>
        <r>
          <rPr>
            <b/>
            <sz val="9"/>
            <color indexed="81"/>
            <rFont val="Tahoma"/>
            <family val="2"/>
          </rPr>
          <t>&lt;[[DEVDeals] - [Property (Seq: 1)] - [Locations (Seq: 1)] - [Unit Mix (Seq: 10)] Unit Type - Send]&gt;</t>
        </r>
      </text>
    </comment>
    <comment ref="H241" authorId="1" shapeId="0" xr:uid="{00000000-0006-0000-2100-000006030000}">
      <text>
        <r>
          <rPr>
            <b/>
            <sz val="9"/>
            <color indexed="81"/>
            <rFont val="Tahoma"/>
            <family val="2"/>
          </rPr>
          <t>&lt;[[DEVDeals] - [Property (Seq: 1)] - [Locations (Seq: 1)] - [Unit Mix (Seq: 10)] Unit Mix Ami Percent - Send]&gt;</t>
        </r>
      </text>
    </comment>
    <comment ref="I241" authorId="1" shapeId="0" xr:uid="{00000000-0006-0000-2100-000007030000}">
      <text>
        <r>
          <rPr>
            <b/>
            <sz val="9"/>
            <color indexed="81"/>
            <rFont val="Tahoma"/>
            <family val="2"/>
          </rPr>
          <t>&lt;[[DEVDeals] - [Property (Seq: 1)] - [Locations (Seq: 1)] - [Unit Mix (Seq: 10)] Num Units - Send]&gt;</t>
        </r>
      </text>
    </comment>
    <comment ref="J241" authorId="1" shapeId="0" xr:uid="{00000000-0006-0000-2100-000008030000}">
      <text>
        <r>
          <rPr>
            <b/>
            <sz val="9"/>
            <color indexed="81"/>
            <rFont val="Tahoma"/>
            <family val="2"/>
          </rPr>
          <t>&lt;[[DEVDeals] - [Property (Seq: 1)] - [Locations (Seq: 1)] - [Unit Mix (Seq: 10)] Base Rent - Send]&gt;</t>
        </r>
      </text>
    </comment>
    <comment ref="L241" authorId="1" shapeId="0" xr:uid="{00000000-0006-0000-2100-000009030000}">
      <text>
        <r>
          <rPr>
            <b/>
            <sz val="9"/>
            <color indexed="81"/>
            <rFont val="Tahoma"/>
            <family val="2"/>
          </rPr>
          <t>&lt;[[DEVDeals] - [Associated TC Deal (Seq: 1)] - [TC Property Current Stage (Seq: 1)] - [Unit Mix (Seq: 10)] TC Unit Mix Type - Send]&gt;</t>
        </r>
      </text>
    </comment>
    <comment ref="M241" authorId="1" shapeId="0" xr:uid="{00000000-0006-0000-2100-00000A030000}">
      <text>
        <r>
          <rPr>
            <b/>
            <sz val="9"/>
            <color indexed="81"/>
            <rFont val="Tahoma"/>
            <family val="2"/>
          </rPr>
          <t>&lt;[[DEVDeals] - [Associated TC Deal (Seq: 1)] - [TC Property Current Stage (Seq: 1)] - [Unit Mix (Seq: 10)] Income Target - Send]&gt;</t>
        </r>
      </text>
    </comment>
    <comment ref="N241" authorId="1" shapeId="0" xr:uid="{00000000-0006-0000-2100-00000B030000}">
      <text>
        <r>
          <rPr>
            <b/>
            <sz val="9"/>
            <color indexed="81"/>
            <rFont val="Tahoma"/>
            <family val="2"/>
          </rPr>
          <t>&lt;[[DEVDeals] - [Associated TC Deal (Seq: 1)] - [TC Property Current Stage (Seq: 1)] - [Unit Mix (Seq: 10)] Num Units - Send]&gt;</t>
        </r>
      </text>
    </comment>
    <comment ref="O241" authorId="1" shapeId="0" xr:uid="{00000000-0006-0000-2100-00000C030000}">
      <text>
        <r>
          <rPr>
            <b/>
            <sz val="9"/>
            <color indexed="81"/>
            <rFont val="Tahoma"/>
            <family val="2"/>
          </rPr>
          <t>&lt;[[DEVDeals] - [Associated TC Deal (Seq: 1)] - [TC Property Current Stage (Seq: 1)] - [Unit Mix (Seq: 10)] Monthly Rent Per Unit - Send]&gt;</t>
        </r>
      </text>
    </comment>
    <comment ref="G242" authorId="1" shapeId="0" xr:uid="{00000000-0006-0000-2100-00000D030000}">
      <text>
        <r>
          <rPr>
            <b/>
            <sz val="9"/>
            <color indexed="81"/>
            <rFont val="Tahoma"/>
            <family val="2"/>
          </rPr>
          <t>&lt;[[DEVDeals] - [Property (Seq: 1)] - [Locations (Seq: 1)] - [Unit Mix (Seq: 11)] Unit Type - Send]&gt;</t>
        </r>
      </text>
    </comment>
    <comment ref="H242" authorId="1" shapeId="0" xr:uid="{00000000-0006-0000-2100-00000E030000}">
      <text>
        <r>
          <rPr>
            <b/>
            <sz val="9"/>
            <color indexed="81"/>
            <rFont val="Tahoma"/>
            <family val="2"/>
          </rPr>
          <t>&lt;[[DEVDeals] - [Property (Seq: 1)] - [Locations (Seq: 1)] - [Unit Mix (Seq: 11)] Unit Mix Ami Percent - Send]&gt;</t>
        </r>
      </text>
    </comment>
    <comment ref="I242" authorId="1" shapeId="0" xr:uid="{00000000-0006-0000-2100-00000F030000}">
      <text>
        <r>
          <rPr>
            <b/>
            <sz val="9"/>
            <color indexed="81"/>
            <rFont val="Tahoma"/>
            <family val="2"/>
          </rPr>
          <t>&lt;[[DEVDeals] - [Property (Seq: 1)] - [Locations (Seq: 1)] - [Unit Mix (Seq: 11)] Num Units - Send]&gt;</t>
        </r>
      </text>
    </comment>
    <comment ref="J242" authorId="1" shapeId="0" xr:uid="{00000000-0006-0000-2100-000010030000}">
      <text>
        <r>
          <rPr>
            <b/>
            <sz val="9"/>
            <color indexed="81"/>
            <rFont val="Tahoma"/>
            <family val="2"/>
          </rPr>
          <t>&lt;[[DEVDeals] - [Property (Seq: 1)] - [Locations (Seq: 1)] - [Unit Mix (Seq: 11)] Base Rent - Send]&gt;</t>
        </r>
      </text>
    </comment>
    <comment ref="L242" authorId="1" shapeId="0" xr:uid="{00000000-0006-0000-2100-000011030000}">
      <text>
        <r>
          <rPr>
            <b/>
            <sz val="9"/>
            <color indexed="81"/>
            <rFont val="Tahoma"/>
            <family val="2"/>
          </rPr>
          <t>&lt;[[DEVDeals] - [Associated TC Deal (Seq: 1)] - [TC Property Current Stage (Seq: 1)] - [Unit Mix (Seq: 11)] TC Unit Mix Type - Send]&gt;</t>
        </r>
      </text>
    </comment>
    <comment ref="M242" authorId="1" shapeId="0" xr:uid="{00000000-0006-0000-2100-000012030000}">
      <text>
        <r>
          <rPr>
            <b/>
            <sz val="9"/>
            <color indexed="81"/>
            <rFont val="Tahoma"/>
            <family val="2"/>
          </rPr>
          <t>&lt;[[DEVDeals] - [Associated TC Deal (Seq: 1)] - [TC Property Current Stage (Seq: 1)] - [Unit Mix (Seq: 11)] Income Target - Send]&gt;</t>
        </r>
      </text>
    </comment>
    <comment ref="N242" authorId="1" shapeId="0" xr:uid="{00000000-0006-0000-2100-000013030000}">
      <text>
        <r>
          <rPr>
            <b/>
            <sz val="9"/>
            <color indexed="81"/>
            <rFont val="Tahoma"/>
            <family val="2"/>
          </rPr>
          <t>&lt;[[DEVDeals] - [Associated TC Deal (Seq: 1)] - [TC Property Current Stage (Seq: 1)] - [Unit Mix (Seq: 11)] Num Units - Send]&gt;</t>
        </r>
      </text>
    </comment>
    <comment ref="O242" authorId="1" shapeId="0" xr:uid="{00000000-0006-0000-2100-000014030000}">
      <text>
        <r>
          <rPr>
            <b/>
            <sz val="9"/>
            <color indexed="81"/>
            <rFont val="Tahoma"/>
            <family val="2"/>
          </rPr>
          <t>&lt;[[DEVDeals] - [Associated TC Deal (Seq: 1)] - [TC Property Current Stage (Seq: 1)] - [Unit Mix (Seq: 11)] Monthly Rent Per Unit - Send]&gt;</t>
        </r>
      </text>
    </comment>
    <comment ref="G243" authorId="1" shapeId="0" xr:uid="{00000000-0006-0000-2100-000015030000}">
      <text>
        <r>
          <rPr>
            <b/>
            <sz val="9"/>
            <color indexed="81"/>
            <rFont val="Tahoma"/>
            <family val="2"/>
          </rPr>
          <t>&lt;[[DEVDeals] - [Property (Seq: 1)] - [Locations (Seq: 1)] - [Unit Mix (Seq: 12)] Unit Type - Send]&gt;</t>
        </r>
      </text>
    </comment>
    <comment ref="H243" authorId="1" shapeId="0" xr:uid="{00000000-0006-0000-2100-000016030000}">
      <text>
        <r>
          <rPr>
            <b/>
            <sz val="9"/>
            <color indexed="81"/>
            <rFont val="Tahoma"/>
            <family val="2"/>
          </rPr>
          <t>&lt;[[DEVDeals] - [Property (Seq: 1)] - [Locations (Seq: 1)] - [Unit Mix (Seq: 12)] Unit Mix Ami Percent - Send]&gt;</t>
        </r>
      </text>
    </comment>
    <comment ref="I243" authorId="1" shapeId="0" xr:uid="{00000000-0006-0000-2100-000017030000}">
      <text>
        <r>
          <rPr>
            <b/>
            <sz val="9"/>
            <color indexed="81"/>
            <rFont val="Tahoma"/>
            <family val="2"/>
          </rPr>
          <t>&lt;[[DEVDeals] - [Property (Seq: 1)] - [Locations (Seq: 1)] - [Unit Mix (Seq: 12)] Num Units - Send]&gt;</t>
        </r>
      </text>
    </comment>
    <comment ref="J243" authorId="1" shapeId="0" xr:uid="{00000000-0006-0000-2100-000018030000}">
      <text>
        <r>
          <rPr>
            <b/>
            <sz val="9"/>
            <color indexed="81"/>
            <rFont val="Tahoma"/>
            <family val="2"/>
          </rPr>
          <t>&lt;[[DEVDeals] - [Property (Seq: 1)] - [Locations (Seq: 1)] - [Unit Mix (Seq: 12)] Base Rent - Send]&gt;</t>
        </r>
      </text>
    </comment>
    <comment ref="L243" authorId="1" shapeId="0" xr:uid="{00000000-0006-0000-2100-000019030000}">
      <text>
        <r>
          <rPr>
            <b/>
            <sz val="9"/>
            <color indexed="81"/>
            <rFont val="Tahoma"/>
            <family val="2"/>
          </rPr>
          <t>&lt;[[DEVDeals] - [Associated TC Deal (Seq: 1)] - [TC Property Current Stage (Seq: 1)] - [Unit Mix (Seq: 12)] TC Unit Mix Type - Send]&gt;</t>
        </r>
      </text>
    </comment>
    <comment ref="M243" authorId="1" shapeId="0" xr:uid="{00000000-0006-0000-2100-00001A030000}">
      <text>
        <r>
          <rPr>
            <b/>
            <sz val="9"/>
            <color indexed="81"/>
            <rFont val="Tahoma"/>
            <family val="2"/>
          </rPr>
          <t>&lt;[[DEVDeals] - [Associated TC Deal (Seq: 1)] - [TC Property Current Stage (Seq: 1)] - [Unit Mix (Seq: 12)] Income Target - Send]&gt;</t>
        </r>
      </text>
    </comment>
    <comment ref="N243" authorId="1" shapeId="0" xr:uid="{00000000-0006-0000-2100-00001B030000}">
      <text>
        <r>
          <rPr>
            <b/>
            <sz val="9"/>
            <color indexed="81"/>
            <rFont val="Tahoma"/>
            <family val="2"/>
          </rPr>
          <t>&lt;[[DEVDeals] - [Associated TC Deal (Seq: 1)] - [TC Property Current Stage (Seq: 1)] - [Unit Mix (Seq: 12)] Num Units - Send]&gt;</t>
        </r>
      </text>
    </comment>
    <comment ref="O243" authorId="1" shapeId="0" xr:uid="{00000000-0006-0000-2100-00001C030000}">
      <text>
        <r>
          <rPr>
            <b/>
            <sz val="9"/>
            <color indexed="81"/>
            <rFont val="Tahoma"/>
            <family val="2"/>
          </rPr>
          <t>&lt;[[DEVDeals] - [Associated TC Deal (Seq: 1)] - [TC Property Current Stage (Seq: 1)] - [Unit Mix (Seq: 12)] Monthly Rent Per Unit - Send]&gt;</t>
        </r>
      </text>
    </comment>
    <comment ref="G244" authorId="1" shapeId="0" xr:uid="{00000000-0006-0000-2100-00001D030000}">
      <text>
        <r>
          <rPr>
            <b/>
            <sz val="9"/>
            <color indexed="81"/>
            <rFont val="Tahoma"/>
            <family val="2"/>
          </rPr>
          <t>&lt;[[DEVDeals] - [Property (Seq: 1)] - [Locations (Seq: 1)] - [Unit Mix (Seq: 13)] Unit Type - Send]&gt;</t>
        </r>
      </text>
    </comment>
    <comment ref="H244" authorId="1" shapeId="0" xr:uid="{00000000-0006-0000-2100-00001E030000}">
      <text>
        <r>
          <rPr>
            <b/>
            <sz val="9"/>
            <color indexed="81"/>
            <rFont val="Tahoma"/>
            <family val="2"/>
          </rPr>
          <t>&lt;[[DEVDeals] - [Property (Seq: 1)] - [Locations (Seq: 1)] - [Unit Mix (Seq: 13)] Unit Mix Ami Percent - Send]&gt;</t>
        </r>
      </text>
    </comment>
    <comment ref="I244" authorId="1" shapeId="0" xr:uid="{00000000-0006-0000-2100-00001F030000}">
      <text>
        <r>
          <rPr>
            <b/>
            <sz val="9"/>
            <color indexed="81"/>
            <rFont val="Tahoma"/>
            <family val="2"/>
          </rPr>
          <t>&lt;[[DEVDeals] - [Property (Seq: 1)] - [Locations (Seq: 1)] - [Unit Mix (Seq: 13)] Num Units - Send]&gt;</t>
        </r>
      </text>
    </comment>
    <comment ref="J244" authorId="1" shapeId="0" xr:uid="{00000000-0006-0000-2100-000020030000}">
      <text>
        <r>
          <rPr>
            <b/>
            <sz val="9"/>
            <color indexed="81"/>
            <rFont val="Tahoma"/>
            <family val="2"/>
          </rPr>
          <t>&lt;[[DEVDeals] - [Property (Seq: 1)] - [Locations (Seq: 1)] - [Unit Mix (Seq: 13)] Base Rent - Send]&gt;</t>
        </r>
      </text>
    </comment>
    <comment ref="L244" authorId="1" shapeId="0" xr:uid="{00000000-0006-0000-2100-000021030000}">
      <text>
        <r>
          <rPr>
            <b/>
            <sz val="9"/>
            <color indexed="81"/>
            <rFont val="Tahoma"/>
            <family val="2"/>
          </rPr>
          <t>&lt;[[DEVDeals] - [Associated TC Deal (Seq: 1)] - [TC Property Current Stage (Seq: 1)] - [Unit Mix (Seq: 13)] TC Unit Mix Type - Send]&gt;</t>
        </r>
      </text>
    </comment>
    <comment ref="M244" authorId="1" shapeId="0" xr:uid="{00000000-0006-0000-2100-000022030000}">
      <text>
        <r>
          <rPr>
            <b/>
            <sz val="9"/>
            <color indexed="81"/>
            <rFont val="Tahoma"/>
            <family val="2"/>
          </rPr>
          <t>&lt;[[DEVDeals] - [Associated TC Deal (Seq: 1)] - [TC Property Current Stage (Seq: 1)] - [Unit Mix (Seq: 13)] Income Target - Send]&gt;</t>
        </r>
      </text>
    </comment>
    <comment ref="N244" authorId="1" shapeId="0" xr:uid="{00000000-0006-0000-2100-000023030000}">
      <text>
        <r>
          <rPr>
            <b/>
            <sz val="9"/>
            <color indexed="81"/>
            <rFont val="Tahoma"/>
            <family val="2"/>
          </rPr>
          <t>&lt;[[DEVDeals] - [Associated TC Deal (Seq: 1)] - [TC Property Current Stage (Seq: 1)] - [Unit Mix (Seq: 13)] Num Units - Send]&gt;</t>
        </r>
      </text>
    </comment>
    <comment ref="O244" authorId="1" shapeId="0" xr:uid="{00000000-0006-0000-2100-000024030000}">
      <text>
        <r>
          <rPr>
            <b/>
            <sz val="9"/>
            <color indexed="81"/>
            <rFont val="Tahoma"/>
            <family val="2"/>
          </rPr>
          <t>&lt;[[DEVDeals] - [Associated TC Deal (Seq: 1)] - [TC Property Current Stage (Seq: 1)] - [Unit Mix (Seq: 13)] Monthly Rent Per Unit - Send]&gt;</t>
        </r>
      </text>
    </comment>
    <comment ref="G245" authorId="1" shapeId="0" xr:uid="{00000000-0006-0000-2100-000025030000}">
      <text>
        <r>
          <rPr>
            <b/>
            <sz val="9"/>
            <color indexed="81"/>
            <rFont val="Tahoma"/>
            <family val="2"/>
          </rPr>
          <t>&lt;[[DEVDeals] - [Property (Seq: 1)] - [Locations (Seq: 1)] - [Unit Mix (Seq: 14)] Unit Type - Send]&gt;</t>
        </r>
      </text>
    </comment>
    <comment ref="H245" authorId="1" shapeId="0" xr:uid="{00000000-0006-0000-2100-000026030000}">
      <text>
        <r>
          <rPr>
            <b/>
            <sz val="9"/>
            <color indexed="81"/>
            <rFont val="Tahoma"/>
            <family val="2"/>
          </rPr>
          <t>&lt;[[DEVDeals] - [Property (Seq: 1)] - [Locations (Seq: 1)] - [Unit Mix (Seq: 14)] Unit Mix Ami Percent - Send]&gt;</t>
        </r>
      </text>
    </comment>
    <comment ref="I245" authorId="1" shapeId="0" xr:uid="{00000000-0006-0000-2100-000027030000}">
      <text>
        <r>
          <rPr>
            <b/>
            <sz val="9"/>
            <color indexed="81"/>
            <rFont val="Tahoma"/>
            <family val="2"/>
          </rPr>
          <t>&lt;[[DEVDeals] - [Property (Seq: 1)] - [Locations (Seq: 1)] - [Unit Mix (Seq: 14)] Num Units - Send]&gt;</t>
        </r>
      </text>
    </comment>
    <comment ref="J245" authorId="1" shapeId="0" xr:uid="{00000000-0006-0000-2100-000028030000}">
      <text>
        <r>
          <rPr>
            <b/>
            <sz val="9"/>
            <color indexed="81"/>
            <rFont val="Tahoma"/>
            <family val="2"/>
          </rPr>
          <t>&lt;[[DEVDeals] - [Property (Seq: 1)] - [Locations (Seq: 1)] - [Unit Mix (Seq: 14)] Base Rent - Send]&gt;</t>
        </r>
      </text>
    </comment>
    <comment ref="L245" authorId="1" shapeId="0" xr:uid="{00000000-0006-0000-2100-000029030000}">
      <text>
        <r>
          <rPr>
            <b/>
            <sz val="9"/>
            <color indexed="81"/>
            <rFont val="Tahoma"/>
            <family val="2"/>
          </rPr>
          <t>&lt;[[DEVDeals] - [Associated TC Deal (Seq: 1)] - [TC Property Current Stage (Seq: 1)] - [Unit Mix (Seq: 14)] TC Unit Mix Type - Send]&gt;</t>
        </r>
      </text>
    </comment>
    <comment ref="M245" authorId="1" shapeId="0" xr:uid="{00000000-0006-0000-2100-00002A030000}">
      <text>
        <r>
          <rPr>
            <b/>
            <sz val="9"/>
            <color indexed="81"/>
            <rFont val="Tahoma"/>
            <family val="2"/>
          </rPr>
          <t>&lt;[[DEVDeals] - [Associated TC Deal (Seq: 1)] - [TC Property Current Stage (Seq: 1)] - [Unit Mix (Seq: 14)] Income Target - Send]&gt;</t>
        </r>
      </text>
    </comment>
    <comment ref="N245" authorId="1" shapeId="0" xr:uid="{00000000-0006-0000-2100-00002B030000}">
      <text>
        <r>
          <rPr>
            <b/>
            <sz val="9"/>
            <color indexed="81"/>
            <rFont val="Tahoma"/>
            <family val="2"/>
          </rPr>
          <t>&lt;[[DEVDeals] - [Associated TC Deal (Seq: 1)] - [TC Property Current Stage (Seq: 1)] - [Unit Mix (Seq: 14)] Num Units - Send]&gt;</t>
        </r>
      </text>
    </comment>
    <comment ref="O245" authorId="1" shapeId="0" xr:uid="{00000000-0006-0000-2100-00002C030000}">
      <text>
        <r>
          <rPr>
            <b/>
            <sz val="9"/>
            <color indexed="81"/>
            <rFont val="Tahoma"/>
            <family val="2"/>
          </rPr>
          <t>&lt;[[DEVDeals] - [Associated TC Deal (Seq: 1)] - [TC Property Current Stage (Seq: 1)] - [Unit Mix (Seq: 14)] Monthly Rent Per Unit - Send]&gt;</t>
        </r>
      </text>
    </comment>
    <comment ref="G246" authorId="1" shapeId="0" xr:uid="{00000000-0006-0000-2100-00002D030000}">
      <text>
        <r>
          <rPr>
            <b/>
            <sz val="9"/>
            <color indexed="81"/>
            <rFont val="Tahoma"/>
            <family val="2"/>
          </rPr>
          <t>&lt;[[DEVDeals] - [Property (Seq: 1)] - [Locations (Seq: 1)] - [Unit Mix (Seq: 15)] Unit Type - Send]&gt;</t>
        </r>
      </text>
    </comment>
    <comment ref="H246" authorId="1" shapeId="0" xr:uid="{00000000-0006-0000-2100-00002E030000}">
      <text>
        <r>
          <rPr>
            <b/>
            <sz val="9"/>
            <color indexed="81"/>
            <rFont val="Tahoma"/>
            <family val="2"/>
          </rPr>
          <t>&lt;[[DEVDeals] - [Property (Seq: 1)] - [Locations (Seq: 1)] - [Unit Mix (Seq: 15)] Unit Mix Ami Percent - Send]&gt;</t>
        </r>
      </text>
    </comment>
    <comment ref="I246" authorId="1" shapeId="0" xr:uid="{00000000-0006-0000-2100-00002F030000}">
      <text>
        <r>
          <rPr>
            <b/>
            <sz val="9"/>
            <color indexed="81"/>
            <rFont val="Tahoma"/>
            <family val="2"/>
          </rPr>
          <t>&lt;[[DEVDeals] - [Property (Seq: 1)] - [Locations (Seq: 1)] - [Unit Mix (Seq: 15)] Num Units - Send]&gt;</t>
        </r>
      </text>
    </comment>
    <comment ref="J246" authorId="1" shapeId="0" xr:uid="{00000000-0006-0000-2100-000030030000}">
      <text>
        <r>
          <rPr>
            <b/>
            <sz val="9"/>
            <color indexed="81"/>
            <rFont val="Tahoma"/>
            <family val="2"/>
          </rPr>
          <t>&lt;[[DEVDeals] - [Property (Seq: 1)] - [Locations (Seq: 1)] - [Unit Mix (Seq: 15)] Base Rent - Send]&gt;</t>
        </r>
      </text>
    </comment>
    <comment ref="L246" authorId="1" shapeId="0" xr:uid="{00000000-0006-0000-2100-000031030000}">
      <text>
        <r>
          <rPr>
            <b/>
            <sz val="9"/>
            <color indexed="81"/>
            <rFont val="Tahoma"/>
            <family val="2"/>
          </rPr>
          <t>&lt;[[DEVDeals] - [Associated TC Deal (Seq: 1)] - [TC Property Current Stage (Seq: 1)] - [Unit Mix (Seq: 15)] TC Unit Mix Type - Send]&gt;</t>
        </r>
      </text>
    </comment>
    <comment ref="M246" authorId="1" shapeId="0" xr:uid="{00000000-0006-0000-2100-000032030000}">
      <text>
        <r>
          <rPr>
            <b/>
            <sz val="9"/>
            <color indexed="81"/>
            <rFont val="Tahoma"/>
            <family val="2"/>
          </rPr>
          <t>&lt;[[DEVDeals] - [Associated TC Deal (Seq: 1)] - [TC Property Current Stage (Seq: 1)] - [Unit Mix (Seq: 15)] Income Target - Send]&gt;</t>
        </r>
      </text>
    </comment>
    <comment ref="N246" authorId="1" shapeId="0" xr:uid="{00000000-0006-0000-2100-000033030000}">
      <text>
        <r>
          <rPr>
            <b/>
            <sz val="9"/>
            <color indexed="81"/>
            <rFont val="Tahoma"/>
            <family val="2"/>
          </rPr>
          <t>&lt;[[DEVDeals] - [Associated TC Deal (Seq: 1)] - [TC Property Current Stage (Seq: 1)] - [Unit Mix (Seq: 15)] Num Units - Send]&gt;</t>
        </r>
      </text>
    </comment>
    <comment ref="O246" authorId="1" shapeId="0" xr:uid="{00000000-0006-0000-2100-000034030000}">
      <text>
        <r>
          <rPr>
            <b/>
            <sz val="9"/>
            <color indexed="81"/>
            <rFont val="Tahoma"/>
            <family val="2"/>
          </rPr>
          <t>&lt;[[DEVDeals] - [Associated TC Deal (Seq: 1)] - [TC Property Current Stage (Seq: 1)] - [Unit Mix (Seq: 15)] Monthly Rent Per Unit - Send]&gt;</t>
        </r>
      </text>
    </comment>
    <comment ref="G247" authorId="1" shapeId="0" xr:uid="{00000000-0006-0000-2100-000035030000}">
      <text>
        <r>
          <rPr>
            <b/>
            <sz val="9"/>
            <color indexed="81"/>
            <rFont val="Tahoma"/>
            <family val="2"/>
          </rPr>
          <t>&lt;[[DEVDeals] - [Property (Seq: 1)] - [Locations (Seq: 1)] - [Unit Mix (Seq: 16)] Unit Type - Send]&gt;</t>
        </r>
      </text>
    </comment>
    <comment ref="H247" authorId="1" shapeId="0" xr:uid="{00000000-0006-0000-2100-000036030000}">
      <text>
        <r>
          <rPr>
            <b/>
            <sz val="9"/>
            <color indexed="81"/>
            <rFont val="Tahoma"/>
            <family val="2"/>
          </rPr>
          <t>&lt;[[DEVDeals] - [Property (Seq: 1)] - [Locations (Seq: 1)] - [Unit Mix (Seq: 16)] Unit Mix Ami Percent - Send]&gt;</t>
        </r>
      </text>
    </comment>
    <comment ref="I247" authorId="1" shapeId="0" xr:uid="{00000000-0006-0000-2100-000037030000}">
      <text>
        <r>
          <rPr>
            <b/>
            <sz val="9"/>
            <color indexed="81"/>
            <rFont val="Tahoma"/>
            <family val="2"/>
          </rPr>
          <t>&lt;[[DEVDeals] - [Property (Seq: 1)] - [Locations (Seq: 1)] - [Unit Mix (Seq: 16)] Num Units - Send]&gt;</t>
        </r>
      </text>
    </comment>
    <comment ref="J247" authorId="1" shapeId="0" xr:uid="{00000000-0006-0000-2100-000038030000}">
      <text>
        <r>
          <rPr>
            <b/>
            <sz val="9"/>
            <color indexed="81"/>
            <rFont val="Tahoma"/>
            <family val="2"/>
          </rPr>
          <t>&lt;[[DEVDeals] - [Property (Seq: 1)] - [Locations (Seq: 1)] - [Unit Mix (Seq: 16)] Base Rent - Send]&gt;</t>
        </r>
      </text>
    </comment>
    <comment ref="L247" authorId="1" shapeId="0" xr:uid="{00000000-0006-0000-2100-000039030000}">
      <text>
        <r>
          <rPr>
            <b/>
            <sz val="9"/>
            <color indexed="81"/>
            <rFont val="Tahoma"/>
            <family val="2"/>
          </rPr>
          <t>&lt;[[DEVDeals] - [Associated TC Deal (Seq: 1)] - [TC Property Current Stage (Seq: 1)] - [Unit Mix (Seq: 16)] TC Unit Mix Type - Send]&gt;</t>
        </r>
      </text>
    </comment>
    <comment ref="M247" authorId="1" shapeId="0" xr:uid="{00000000-0006-0000-2100-00003A030000}">
      <text>
        <r>
          <rPr>
            <b/>
            <sz val="9"/>
            <color indexed="81"/>
            <rFont val="Tahoma"/>
            <family val="2"/>
          </rPr>
          <t>&lt;[[DEVDeals] - [Associated TC Deal (Seq: 1)] - [TC Property Current Stage (Seq: 1)] - [Unit Mix (Seq: 16)] Income Target - Send]&gt;</t>
        </r>
      </text>
    </comment>
    <comment ref="N247" authorId="1" shapeId="0" xr:uid="{00000000-0006-0000-2100-00003B030000}">
      <text>
        <r>
          <rPr>
            <b/>
            <sz val="9"/>
            <color indexed="81"/>
            <rFont val="Tahoma"/>
            <family val="2"/>
          </rPr>
          <t>&lt;[[DEVDeals] - [Associated TC Deal (Seq: 1)] - [TC Property Current Stage (Seq: 1)] - [Unit Mix (Seq: 16)] Num Units - Send]&gt;</t>
        </r>
      </text>
    </comment>
    <comment ref="O247" authorId="1" shapeId="0" xr:uid="{00000000-0006-0000-2100-00003C030000}">
      <text>
        <r>
          <rPr>
            <b/>
            <sz val="9"/>
            <color indexed="81"/>
            <rFont val="Tahoma"/>
            <family val="2"/>
          </rPr>
          <t>&lt;[[DEVDeals] - [Associated TC Deal (Seq: 1)] - [TC Property Current Stage (Seq: 1)] - [Unit Mix (Seq: 16)] Monthly Rent Per Unit - Send]&gt;</t>
        </r>
      </text>
    </comment>
    <comment ref="G248" authorId="1" shapeId="0" xr:uid="{00000000-0006-0000-2100-00003D030000}">
      <text>
        <r>
          <rPr>
            <b/>
            <sz val="9"/>
            <color indexed="81"/>
            <rFont val="Tahoma"/>
            <family val="2"/>
          </rPr>
          <t>&lt;[[DEVDeals] - [Property (Seq: 1)] - [Locations (Seq: 1)] - [Unit Mix (Seq: 17)] Unit Type - Send]&gt;</t>
        </r>
      </text>
    </comment>
    <comment ref="H248" authorId="1" shapeId="0" xr:uid="{00000000-0006-0000-2100-00003E030000}">
      <text>
        <r>
          <rPr>
            <b/>
            <sz val="9"/>
            <color indexed="81"/>
            <rFont val="Tahoma"/>
            <family val="2"/>
          </rPr>
          <t>&lt;[[DEVDeals] - [Property (Seq: 1)] - [Locations (Seq: 1)] - [Unit Mix (Seq: 17)] Unit Mix Ami Percent - Send]&gt;</t>
        </r>
      </text>
    </comment>
    <comment ref="I248" authorId="1" shapeId="0" xr:uid="{00000000-0006-0000-2100-00003F030000}">
      <text>
        <r>
          <rPr>
            <b/>
            <sz val="9"/>
            <color indexed="81"/>
            <rFont val="Tahoma"/>
            <family val="2"/>
          </rPr>
          <t>&lt;[[DEVDeals] - [Property (Seq: 1)] - [Locations (Seq: 1)] - [Unit Mix (Seq: 17)] Num Units - Send]&gt;</t>
        </r>
      </text>
    </comment>
    <comment ref="J248" authorId="1" shapeId="0" xr:uid="{00000000-0006-0000-2100-000040030000}">
      <text>
        <r>
          <rPr>
            <b/>
            <sz val="9"/>
            <color indexed="81"/>
            <rFont val="Tahoma"/>
            <family val="2"/>
          </rPr>
          <t>&lt;[[DEVDeals] - [Property (Seq: 1)] - [Locations (Seq: 1)] - [Unit Mix (Seq: 17)] Base Rent - Send]&gt;</t>
        </r>
      </text>
    </comment>
    <comment ref="L248" authorId="1" shapeId="0" xr:uid="{00000000-0006-0000-2100-000041030000}">
      <text>
        <r>
          <rPr>
            <b/>
            <sz val="9"/>
            <color indexed="81"/>
            <rFont val="Tahoma"/>
            <family val="2"/>
          </rPr>
          <t>&lt;[[DEVDeals] - [Associated TC Deal (Seq: 1)] - [TC Property Current Stage (Seq: 1)] - [Unit Mix (Seq: 17)] TC Unit Mix Type - Send]&gt;</t>
        </r>
      </text>
    </comment>
    <comment ref="M248" authorId="1" shapeId="0" xr:uid="{00000000-0006-0000-2100-000042030000}">
      <text>
        <r>
          <rPr>
            <b/>
            <sz val="9"/>
            <color indexed="81"/>
            <rFont val="Tahoma"/>
            <family val="2"/>
          </rPr>
          <t>&lt;[[DEVDeals] - [Associated TC Deal (Seq: 1)] - [TC Property Current Stage (Seq: 1)] - [Unit Mix (Seq: 17)] Income Target - Send]&gt;</t>
        </r>
      </text>
    </comment>
    <comment ref="N248" authorId="1" shapeId="0" xr:uid="{00000000-0006-0000-2100-000043030000}">
      <text>
        <r>
          <rPr>
            <b/>
            <sz val="9"/>
            <color indexed="81"/>
            <rFont val="Tahoma"/>
            <family val="2"/>
          </rPr>
          <t>&lt;[[DEVDeals] - [Associated TC Deal (Seq: 1)] - [TC Property Current Stage (Seq: 1)] - [Unit Mix (Seq: 17)] Num Units - Send]&gt;</t>
        </r>
      </text>
    </comment>
    <comment ref="O248" authorId="1" shapeId="0" xr:uid="{00000000-0006-0000-2100-000044030000}">
      <text>
        <r>
          <rPr>
            <b/>
            <sz val="9"/>
            <color indexed="81"/>
            <rFont val="Tahoma"/>
            <family val="2"/>
          </rPr>
          <t>&lt;[[DEVDeals] - [Associated TC Deal (Seq: 1)] - [TC Property Current Stage (Seq: 1)] - [Unit Mix (Seq: 17)] Monthly Rent Per Unit - Send]&gt;</t>
        </r>
      </text>
    </comment>
    <comment ref="G249" authorId="1" shapeId="0" xr:uid="{00000000-0006-0000-2100-000045030000}">
      <text>
        <r>
          <rPr>
            <b/>
            <sz val="9"/>
            <color indexed="81"/>
            <rFont val="Tahoma"/>
            <family val="2"/>
          </rPr>
          <t>&lt;[[DEVDeals] - [Property (Seq: 1)] - [Locations (Seq: 1)] - [Unit Mix (Seq: 18)] Unit Type - Send]&gt;</t>
        </r>
      </text>
    </comment>
    <comment ref="H249" authorId="1" shapeId="0" xr:uid="{00000000-0006-0000-2100-000046030000}">
      <text>
        <r>
          <rPr>
            <b/>
            <sz val="9"/>
            <color indexed="81"/>
            <rFont val="Tahoma"/>
            <family val="2"/>
          </rPr>
          <t>&lt;[[DEVDeals] - [Property (Seq: 1)] - [Locations (Seq: 1)] - [Unit Mix (Seq: 18)] Unit Mix Ami Percent - Send]&gt;</t>
        </r>
      </text>
    </comment>
    <comment ref="I249" authorId="1" shapeId="0" xr:uid="{00000000-0006-0000-2100-000047030000}">
      <text>
        <r>
          <rPr>
            <b/>
            <sz val="9"/>
            <color indexed="81"/>
            <rFont val="Tahoma"/>
            <family val="2"/>
          </rPr>
          <t>&lt;[[DEVDeals] - [Property (Seq: 1)] - [Locations (Seq: 1)] - [Unit Mix (Seq: 18)] Num Units - Send]&gt;</t>
        </r>
      </text>
    </comment>
    <comment ref="J249" authorId="1" shapeId="0" xr:uid="{00000000-0006-0000-2100-000048030000}">
      <text>
        <r>
          <rPr>
            <b/>
            <sz val="9"/>
            <color indexed="81"/>
            <rFont val="Tahoma"/>
            <family val="2"/>
          </rPr>
          <t>&lt;[[DEVDeals] - [Property (Seq: 1)] - [Locations (Seq: 1)] - [Unit Mix (Seq: 18)] Base Rent - Send]&gt;</t>
        </r>
      </text>
    </comment>
    <comment ref="L249" authorId="1" shapeId="0" xr:uid="{00000000-0006-0000-2100-000049030000}">
      <text>
        <r>
          <rPr>
            <b/>
            <sz val="9"/>
            <color indexed="81"/>
            <rFont val="Tahoma"/>
            <family val="2"/>
          </rPr>
          <t>&lt;[[DEVDeals] - [Associated TC Deal (Seq: 1)] - [TC Property Current Stage (Seq: 1)] - [Unit Mix (Seq: 18)] TC Unit Mix Type - Send]&gt;</t>
        </r>
      </text>
    </comment>
    <comment ref="M249" authorId="1" shapeId="0" xr:uid="{00000000-0006-0000-2100-00004A030000}">
      <text>
        <r>
          <rPr>
            <b/>
            <sz val="9"/>
            <color indexed="81"/>
            <rFont val="Tahoma"/>
            <family val="2"/>
          </rPr>
          <t>&lt;[[DEVDeals] - [Associated TC Deal (Seq: 1)] - [TC Property Current Stage (Seq: 1)] - [Unit Mix (Seq: 18)] Income Target - Send]&gt;</t>
        </r>
      </text>
    </comment>
    <comment ref="N249" authorId="1" shapeId="0" xr:uid="{00000000-0006-0000-2100-00004B030000}">
      <text>
        <r>
          <rPr>
            <b/>
            <sz val="9"/>
            <color indexed="81"/>
            <rFont val="Tahoma"/>
            <family val="2"/>
          </rPr>
          <t>&lt;[[DEVDeals] - [Associated TC Deal (Seq: 1)] - [TC Property Current Stage (Seq: 1)] - [Unit Mix (Seq: 18)] Num Units - Send]&gt;</t>
        </r>
      </text>
    </comment>
    <comment ref="O249" authorId="1" shapeId="0" xr:uid="{00000000-0006-0000-2100-00004C030000}">
      <text>
        <r>
          <rPr>
            <b/>
            <sz val="9"/>
            <color indexed="81"/>
            <rFont val="Tahoma"/>
            <family val="2"/>
          </rPr>
          <t>&lt;[[DEVDeals] - [Associated TC Deal (Seq: 1)] - [TC Property Current Stage (Seq: 1)] - [Unit Mix (Seq: 18)] Monthly Rent Per Unit - Send]&gt;</t>
        </r>
      </text>
    </comment>
    <comment ref="G250" authorId="1" shapeId="0" xr:uid="{00000000-0006-0000-2100-00004D030000}">
      <text>
        <r>
          <rPr>
            <b/>
            <sz val="9"/>
            <color indexed="81"/>
            <rFont val="Tahoma"/>
            <family val="2"/>
          </rPr>
          <t>&lt;[[DEVDeals] - [Property (Seq: 1)] - [Locations (Seq: 1)] - [Unit Mix (Seq: 19)] Unit Type - Send]&gt;</t>
        </r>
      </text>
    </comment>
    <comment ref="H250" authorId="1" shapeId="0" xr:uid="{00000000-0006-0000-2100-00004E030000}">
      <text>
        <r>
          <rPr>
            <b/>
            <sz val="9"/>
            <color indexed="81"/>
            <rFont val="Tahoma"/>
            <family val="2"/>
          </rPr>
          <t>&lt;[[DEVDeals] - [Property (Seq: 1)] - [Locations (Seq: 1)] - [Unit Mix (Seq: 19)] Unit Mix Ami Percent - Send]&gt;</t>
        </r>
      </text>
    </comment>
    <comment ref="I250" authorId="1" shapeId="0" xr:uid="{00000000-0006-0000-2100-00004F030000}">
      <text>
        <r>
          <rPr>
            <b/>
            <sz val="9"/>
            <color indexed="81"/>
            <rFont val="Tahoma"/>
            <family val="2"/>
          </rPr>
          <t>&lt;[[DEVDeals] - [Property (Seq: 1)] - [Locations (Seq: 1)] - [Unit Mix (Seq: 19)] Num Units - Send]&gt;</t>
        </r>
      </text>
    </comment>
    <comment ref="J250" authorId="1" shapeId="0" xr:uid="{00000000-0006-0000-2100-000050030000}">
      <text>
        <r>
          <rPr>
            <b/>
            <sz val="9"/>
            <color indexed="81"/>
            <rFont val="Tahoma"/>
            <family val="2"/>
          </rPr>
          <t>&lt;[[DEVDeals] - [Property (Seq: 1)] - [Locations (Seq: 1)] - [Unit Mix (Seq: 19)] Base Rent - Send]&gt;</t>
        </r>
      </text>
    </comment>
    <comment ref="L250" authorId="1" shapeId="0" xr:uid="{00000000-0006-0000-2100-000051030000}">
      <text>
        <r>
          <rPr>
            <b/>
            <sz val="9"/>
            <color indexed="81"/>
            <rFont val="Tahoma"/>
            <family val="2"/>
          </rPr>
          <t>&lt;[[DEVDeals] - [Associated TC Deal (Seq: 1)] - [TC Property Current Stage (Seq: 1)] - [Unit Mix (Seq: 19)] TC Unit Mix Type - Send]&gt;</t>
        </r>
      </text>
    </comment>
    <comment ref="M250" authorId="1" shapeId="0" xr:uid="{00000000-0006-0000-2100-000052030000}">
      <text>
        <r>
          <rPr>
            <b/>
            <sz val="9"/>
            <color indexed="81"/>
            <rFont val="Tahoma"/>
            <family val="2"/>
          </rPr>
          <t>&lt;[[DEVDeals] - [Associated TC Deal (Seq: 1)] - [TC Property Current Stage (Seq: 1)] - [Unit Mix (Seq: 19)] Income Target - Send]&gt;</t>
        </r>
      </text>
    </comment>
    <comment ref="N250" authorId="1" shapeId="0" xr:uid="{00000000-0006-0000-2100-000053030000}">
      <text>
        <r>
          <rPr>
            <b/>
            <sz val="9"/>
            <color indexed="81"/>
            <rFont val="Tahoma"/>
            <family val="2"/>
          </rPr>
          <t>&lt;[[DEVDeals] - [Associated TC Deal (Seq: 1)] - [TC Property Current Stage (Seq: 1)] - [Unit Mix (Seq: 19)] Num Units - Send]&gt;</t>
        </r>
      </text>
    </comment>
    <comment ref="O250" authorId="1" shapeId="0" xr:uid="{00000000-0006-0000-2100-000054030000}">
      <text>
        <r>
          <rPr>
            <b/>
            <sz val="9"/>
            <color indexed="81"/>
            <rFont val="Tahoma"/>
            <family val="2"/>
          </rPr>
          <t>&lt;[[DEVDeals] - [Associated TC Deal (Seq: 1)] - [TC Property Current Stage (Seq: 1)] - [Unit Mix (Seq: 19)] Monthly Rent Per Unit - Send]&gt;</t>
        </r>
      </text>
    </comment>
    <comment ref="G251" authorId="1" shapeId="0" xr:uid="{00000000-0006-0000-2100-000055030000}">
      <text>
        <r>
          <rPr>
            <b/>
            <sz val="9"/>
            <color indexed="81"/>
            <rFont val="Tahoma"/>
            <family val="2"/>
          </rPr>
          <t>&lt;[[DEVDeals] - [Property (Seq: 1)] - [Locations (Seq: 1)] - [Unit Mix (Seq: 20)] Unit Type - Send]&gt;</t>
        </r>
      </text>
    </comment>
    <comment ref="H251" authorId="1" shapeId="0" xr:uid="{00000000-0006-0000-2100-000056030000}">
      <text>
        <r>
          <rPr>
            <b/>
            <sz val="9"/>
            <color indexed="81"/>
            <rFont val="Tahoma"/>
            <family val="2"/>
          </rPr>
          <t>&lt;[[DEVDeals] - [Property (Seq: 1)] - [Locations (Seq: 1)] - [Unit Mix (Seq: 20)] Unit Mix Ami Percent - Send]&gt;</t>
        </r>
      </text>
    </comment>
    <comment ref="I251" authorId="1" shapeId="0" xr:uid="{00000000-0006-0000-2100-000057030000}">
      <text>
        <r>
          <rPr>
            <b/>
            <sz val="9"/>
            <color indexed="81"/>
            <rFont val="Tahoma"/>
            <family val="2"/>
          </rPr>
          <t>&lt;[[DEVDeals] - [Property (Seq: 1)] - [Locations (Seq: 1)] - [Unit Mix (Seq: 20)] Num Units - Send]&gt;</t>
        </r>
      </text>
    </comment>
    <comment ref="J251" authorId="1" shapeId="0" xr:uid="{00000000-0006-0000-2100-000058030000}">
      <text>
        <r>
          <rPr>
            <b/>
            <sz val="9"/>
            <color indexed="81"/>
            <rFont val="Tahoma"/>
            <family val="2"/>
          </rPr>
          <t>&lt;[[DEVDeals] - [Property (Seq: 1)] - [Locations (Seq: 1)] - [Unit Mix (Seq: 20)] Base Rent - Send]&gt;</t>
        </r>
      </text>
    </comment>
    <comment ref="L251" authorId="1" shapeId="0" xr:uid="{00000000-0006-0000-2100-000059030000}">
      <text>
        <r>
          <rPr>
            <b/>
            <sz val="9"/>
            <color indexed="81"/>
            <rFont val="Tahoma"/>
            <family val="2"/>
          </rPr>
          <t>&lt;[[DEVDeals] - [Associated TC Deal (Seq: 1)] - [TC Property Current Stage (Seq: 1)] - [Unit Mix (Seq: 20)] TC Unit Mix Type - Send]&gt;</t>
        </r>
      </text>
    </comment>
    <comment ref="M251" authorId="1" shapeId="0" xr:uid="{00000000-0006-0000-2100-00005A030000}">
      <text>
        <r>
          <rPr>
            <b/>
            <sz val="9"/>
            <color indexed="81"/>
            <rFont val="Tahoma"/>
            <family val="2"/>
          </rPr>
          <t>&lt;[[DEVDeals] - [Associated TC Deal (Seq: 1)] - [TC Property Current Stage (Seq: 1)] - [Unit Mix (Seq: 20)] Income Target - Send]&gt;</t>
        </r>
      </text>
    </comment>
    <comment ref="N251" authorId="1" shapeId="0" xr:uid="{00000000-0006-0000-2100-00005B030000}">
      <text>
        <r>
          <rPr>
            <b/>
            <sz val="9"/>
            <color indexed="81"/>
            <rFont val="Tahoma"/>
            <family val="2"/>
          </rPr>
          <t>&lt;[[DEVDeals] - [Associated TC Deal (Seq: 1)] - [TC Property Current Stage (Seq: 1)] - [Unit Mix (Seq: 20)] Num Units - Send]&gt;</t>
        </r>
      </text>
    </comment>
    <comment ref="O251" authorId="1" shapeId="0" xr:uid="{00000000-0006-0000-2100-00005C030000}">
      <text>
        <r>
          <rPr>
            <b/>
            <sz val="9"/>
            <color indexed="81"/>
            <rFont val="Tahoma"/>
            <family val="2"/>
          </rPr>
          <t>&lt;[[DEVDeals] - [Associated TC Deal (Seq: 1)] - [TC Property Current Stage (Seq: 1)] - [Unit Mix (Seq: 20)] Monthly Rent Per Unit - Send]&gt;</t>
        </r>
      </text>
    </comment>
    <comment ref="G252" authorId="1" shapeId="0" xr:uid="{00000000-0006-0000-2100-00005D030000}">
      <text>
        <r>
          <rPr>
            <b/>
            <sz val="9"/>
            <color indexed="81"/>
            <rFont val="Tahoma"/>
            <family val="2"/>
          </rPr>
          <t>&lt;[[DEVDeals] - [Property (Seq: 1)] - [Locations (Seq: 1)] - [Unit Mix (Seq: 21)] Unit Type - Send]&gt;</t>
        </r>
      </text>
    </comment>
    <comment ref="H252" authorId="1" shapeId="0" xr:uid="{00000000-0006-0000-2100-00005E030000}">
      <text>
        <r>
          <rPr>
            <b/>
            <sz val="9"/>
            <color indexed="81"/>
            <rFont val="Tahoma"/>
            <family val="2"/>
          </rPr>
          <t>&lt;[[DEVDeals] - [Property (Seq: 1)] - [Locations (Seq: 1)] - [Unit Mix (Seq: 21)] Unit Mix Ami Percent - Send]&gt;</t>
        </r>
      </text>
    </comment>
    <comment ref="I252" authorId="1" shapeId="0" xr:uid="{00000000-0006-0000-2100-00005F030000}">
      <text>
        <r>
          <rPr>
            <b/>
            <sz val="9"/>
            <color indexed="81"/>
            <rFont val="Tahoma"/>
            <family val="2"/>
          </rPr>
          <t>&lt;[[DEVDeals] - [Property (Seq: 1)] - [Locations (Seq: 1)] - [Unit Mix (Seq: 21)] Num Units - Send]&gt;</t>
        </r>
      </text>
    </comment>
    <comment ref="J252" authorId="1" shapeId="0" xr:uid="{00000000-0006-0000-2100-000060030000}">
      <text>
        <r>
          <rPr>
            <b/>
            <sz val="9"/>
            <color indexed="81"/>
            <rFont val="Tahoma"/>
            <family val="2"/>
          </rPr>
          <t>&lt;[[DEVDeals] - [Property (Seq: 1)] - [Locations (Seq: 1)] - [Unit Mix (Seq: 21)] Base Rent - Send]&gt;</t>
        </r>
      </text>
    </comment>
    <comment ref="L252" authorId="1" shapeId="0" xr:uid="{00000000-0006-0000-2100-000061030000}">
      <text>
        <r>
          <rPr>
            <b/>
            <sz val="9"/>
            <color indexed="81"/>
            <rFont val="Tahoma"/>
            <family val="2"/>
          </rPr>
          <t>&lt;[[DEVDeals] - [Associated TC Deal (Seq: 1)] - [TC Property Current Stage (Seq: 1)] - [Unit Mix (Seq: 21)] TC Unit Mix Type - Send]&gt;</t>
        </r>
      </text>
    </comment>
    <comment ref="M252" authorId="1" shapeId="0" xr:uid="{00000000-0006-0000-2100-000062030000}">
      <text>
        <r>
          <rPr>
            <b/>
            <sz val="9"/>
            <color indexed="81"/>
            <rFont val="Tahoma"/>
            <family val="2"/>
          </rPr>
          <t>&lt;[[DEVDeals] - [Associated TC Deal (Seq: 1)] - [TC Property Current Stage (Seq: 1)] - [Unit Mix (Seq: 21)] Income Target - Send]&gt;</t>
        </r>
      </text>
    </comment>
    <comment ref="N252" authorId="1" shapeId="0" xr:uid="{00000000-0006-0000-2100-000063030000}">
      <text>
        <r>
          <rPr>
            <b/>
            <sz val="9"/>
            <color indexed="81"/>
            <rFont val="Tahoma"/>
            <family val="2"/>
          </rPr>
          <t>&lt;[[DEVDeals] - [Associated TC Deal (Seq: 1)] - [TC Property Current Stage (Seq: 1)] - [Unit Mix (Seq: 21)] Num Units - Send]&gt;</t>
        </r>
      </text>
    </comment>
    <comment ref="O252" authorId="1" shapeId="0" xr:uid="{00000000-0006-0000-2100-000064030000}">
      <text>
        <r>
          <rPr>
            <b/>
            <sz val="9"/>
            <color indexed="81"/>
            <rFont val="Tahoma"/>
            <family val="2"/>
          </rPr>
          <t>&lt;[[DEVDeals] - [Associated TC Deal (Seq: 1)] - [TC Property Current Stage (Seq: 1)] - [Unit Mix (Seq: 21)] Monthly Rent Per Unit - Send]&gt;</t>
        </r>
      </text>
    </comment>
    <comment ref="G253" authorId="1" shapeId="0" xr:uid="{00000000-0006-0000-2100-000065030000}">
      <text>
        <r>
          <rPr>
            <b/>
            <sz val="9"/>
            <color indexed="81"/>
            <rFont val="Tahoma"/>
            <family val="2"/>
          </rPr>
          <t>&lt;[[DEVDeals] - [Property (Seq: 1)] - [Locations (Seq: 1)] - [Unit Mix (Seq: 22)] Unit Type - Send]&gt;</t>
        </r>
      </text>
    </comment>
    <comment ref="H253" authorId="1" shapeId="0" xr:uid="{00000000-0006-0000-2100-000066030000}">
      <text>
        <r>
          <rPr>
            <b/>
            <sz val="9"/>
            <color indexed="81"/>
            <rFont val="Tahoma"/>
            <family val="2"/>
          </rPr>
          <t>&lt;[[DEVDeals] - [Property (Seq: 1)] - [Locations (Seq: 1)] - [Unit Mix (Seq: 22)] Unit Mix Ami Percent - Send]&gt;</t>
        </r>
      </text>
    </comment>
    <comment ref="I253" authorId="1" shapeId="0" xr:uid="{00000000-0006-0000-2100-000067030000}">
      <text>
        <r>
          <rPr>
            <b/>
            <sz val="9"/>
            <color indexed="81"/>
            <rFont val="Tahoma"/>
            <family val="2"/>
          </rPr>
          <t>&lt;[[DEVDeals] - [Property (Seq: 1)] - [Locations (Seq: 1)] - [Unit Mix (Seq: 22)] Num Units - Send]&gt;</t>
        </r>
      </text>
    </comment>
    <comment ref="J253" authorId="1" shapeId="0" xr:uid="{00000000-0006-0000-2100-000068030000}">
      <text>
        <r>
          <rPr>
            <b/>
            <sz val="9"/>
            <color indexed="81"/>
            <rFont val="Tahoma"/>
            <family val="2"/>
          </rPr>
          <t>&lt;[[DEVDeals] - [Property (Seq: 1)] - [Locations (Seq: 1)] - [Unit Mix (Seq: 22)] Base Rent - Send]&gt;</t>
        </r>
      </text>
    </comment>
    <comment ref="L253" authorId="1" shapeId="0" xr:uid="{00000000-0006-0000-2100-000069030000}">
      <text>
        <r>
          <rPr>
            <b/>
            <sz val="9"/>
            <color indexed="81"/>
            <rFont val="Tahoma"/>
            <family val="2"/>
          </rPr>
          <t>&lt;[[DEVDeals] - [Associated TC Deal (Seq: 1)] - [TC Property Current Stage (Seq: 1)] - [Unit Mix (Seq: 22)] TC Unit Mix Type - Send]&gt;</t>
        </r>
      </text>
    </comment>
    <comment ref="M253" authorId="1" shapeId="0" xr:uid="{00000000-0006-0000-2100-00006A030000}">
      <text>
        <r>
          <rPr>
            <b/>
            <sz val="9"/>
            <color indexed="81"/>
            <rFont val="Tahoma"/>
            <family val="2"/>
          </rPr>
          <t>&lt;[[DEVDeals] - [Associated TC Deal (Seq: 1)] - [TC Property Current Stage (Seq: 1)] - [Unit Mix (Seq: 22)] Income Target - Send]&gt;</t>
        </r>
      </text>
    </comment>
    <comment ref="N253" authorId="1" shapeId="0" xr:uid="{00000000-0006-0000-2100-00006B030000}">
      <text>
        <r>
          <rPr>
            <b/>
            <sz val="9"/>
            <color indexed="81"/>
            <rFont val="Tahoma"/>
            <family val="2"/>
          </rPr>
          <t>&lt;[[DEVDeals] - [Associated TC Deal (Seq: 1)] - [TC Property Current Stage (Seq: 1)] - [Unit Mix (Seq: 22)] Num Units - Send]&gt;</t>
        </r>
      </text>
    </comment>
    <comment ref="O253" authorId="1" shapeId="0" xr:uid="{00000000-0006-0000-2100-00006C030000}">
      <text>
        <r>
          <rPr>
            <b/>
            <sz val="9"/>
            <color indexed="81"/>
            <rFont val="Tahoma"/>
            <family val="2"/>
          </rPr>
          <t>&lt;[[DEVDeals] - [Associated TC Deal (Seq: 1)] - [TC Property Current Stage (Seq: 1)] - [Unit Mix (Seq: 22)] Monthly Rent Per Unit - Send]&gt;</t>
        </r>
      </text>
    </comment>
    <comment ref="G254" authorId="1" shapeId="0" xr:uid="{00000000-0006-0000-2100-00006D030000}">
      <text>
        <r>
          <rPr>
            <b/>
            <sz val="9"/>
            <color indexed="81"/>
            <rFont val="Tahoma"/>
            <family val="2"/>
          </rPr>
          <t>&lt;[[DEVDeals] - [Property (Seq: 1)] - [Locations (Seq: 1)] - [Unit Mix (Seq: 23)] Unit Type - Send]&gt;</t>
        </r>
      </text>
    </comment>
    <comment ref="H254" authorId="1" shapeId="0" xr:uid="{00000000-0006-0000-2100-00006E030000}">
      <text>
        <r>
          <rPr>
            <b/>
            <sz val="9"/>
            <color indexed="81"/>
            <rFont val="Tahoma"/>
            <family val="2"/>
          </rPr>
          <t>&lt;[[DEVDeals] - [Property (Seq: 1)] - [Locations (Seq: 1)] - [Unit Mix (Seq: 23)] Unit Mix Ami Percent - Send]&gt;</t>
        </r>
      </text>
    </comment>
    <comment ref="I254" authorId="1" shapeId="0" xr:uid="{00000000-0006-0000-2100-00006F030000}">
      <text>
        <r>
          <rPr>
            <b/>
            <sz val="9"/>
            <color indexed="81"/>
            <rFont val="Tahoma"/>
            <family val="2"/>
          </rPr>
          <t>&lt;[[DEVDeals] - [Property (Seq: 1)] - [Locations (Seq: 1)] - [Unit Mix (Seq: 23)] Num Units - Send]&gt;</t>
        </r>
      </text>
    </comment>
    <comment ref="J254" authorId="1" shapeId="0" xr:uid="{00000000-0006-0000-2100-000070030000}">
      <text>
        <r>
          <rPr>
            <b/>
            <sz val="9"/>
            <color indexed="81"/>
            <rFont val="Tahoma"/>
            <family val="2"/>
          </rPr>
          <t>&lt;[[DEVDeals] - [Property (Seq: 1)] - [Locations (Seq: 1)] - [Unit Mix (Seq: 23)] Base Rent - Send]&gt;</t>
        </r>
      </text>
    </comment>
    <comment ref="L254" authorId="1" shapeId="0" xr:uid="{00000000-0006-0000-2100-000071030000}">
      <text>
        <r>
          <rPr>
            <b/>
            <sz val="9"/>
            <color indexed="81"/>
            <rFont val="Tahoma"/>
            <family val="2"/>
          </rPr>
          <t>&lt;[[DEVDeals] - [Associated TC Deal (Seq: 1)] - [TC Property Current Stage (Seq: 1)] - [Unit Mix (Seq: 23)] TC Unit Mix Type - Send]&gt;</t>
        </r>
      </text>
    </comment>
    <comment ref="M254" authorId="1" shapeId="0" xr:uid="{00000000-0006-0000-2100-000072030000}">
      <text>
        <r>
          <rPr>
            <b/>
            <sz val="9"/>
            <color indexed="81"/>
            <rFont val="Tahoma"/>
            <family val="2"/>
          </rPr>
          <t>&lt;[[DEVDeals] - [Associated TC Deal (Seq: 1)] - [TC Property Current Stage (Seq: 1)] - [Unit Mix (Seq: 23)] Income Target - Send]&gt;</t>
        </r>
      </text>
    </comment>
    <comment ref="N254" authorId="1" shapeId="0" xr:uid="{00000000-0006-0000-2100-000073030000}">
      <text>
        <r>
          <rPr>
            <b/>
            <sz val="9"/>
            <color indexed="81"/>
            <rFont val="Tahoma"/>
            <family val="2"/>
          </rPr>
          <t>&lt;[[DEVDeals] - [Associated TC Deal (Seq: 1)] - [TC Property Current Stage (Seq: 1)] - [Unit Mix (Seq: 23)] Num Units - Send]&gt;</t>
        </r>
      </text>
    </comment>
    <comment ref="O254" authorId="1" shapeId="0" xr:uid="{00000000-0006-0000-2100-000074030000}">
      <text>
        <r>
          <rPr>
            <b/>
            <sz val="9"/>
            <color indexed="81"/>
            <rFont val="Tahoma"/>
            <family val="2"/>
          </rPr>
          <t>&lt;[[DEVDeals] - [Associated TC Deal (Seq: 1)] - [TC Property Current Stage (Seq: 1)] - [Unit Mix (Seq: 23)] Monthly Rent Per Unit - Send]&gt;</t>
        </r>
      </text>
    </comment>
    <comment ref="I255" authorId="0" shapeId="0" xr:uid="{00000000-0006-0000-2100-000075030000}">
      <text>
        <r>
          <rPr>
            <b/>
            <sz val="9"/>
            <color indexed="81"/>
            <rFont val="Tahoma"/>
            <family val="2"/>
          </rPr>
          <t>&lt;[[DEVDeals] - [Deal Property (Seq: 1)] Total Units - Send]&gt;</t>
        </r>
      </text>
    </comment>
    <comment ref="N255" authorId="2" shapeId="0" xr:uid="{00000000-0006-0000-2100-000076030000}">
      <text>
        <r>
          <rPr>
            <b/>
            <sz val="9"/>
            <color indexed="81"/>
            <rFont val="Tahoma"/>
            <family val="2"/>
          </rPr>
          <t>&lt;[[DEVDeals] - [Associated TC Deal (Seq: 1)] - [TC Property Current Stage (Seq: 1)] Total Units - Send]&gt;</t>
        </r>
      </text>
    </comment>
    <comment ref="G260" authorId="0" shapeId="0" xr:uid="{00000000-0006-0000-2100-000077030000}">
      <text>
        <r>
          <rPr>
            <b/>
            <sz val="9"/>
            <color indexed="81"/>
            <rFont val="Tahoma"/>
            <family val="2"/>
          </rPr>
          <t>&lt;[[DEVDeals] - [DEV User Defined Fields (Seq: 1)] Op Budget - Effective Gross Income Annual - Send]&gt;</t>
        </r>
      </text>
    </comment>
    <comment ref="H260" authorId="0" shapeId="0" xr:uid="{00000000-0006-0000-2100-000078030000}">
      <text>
        <r>
          <rPr>
            <b/>
            <sz val="9"/>
            <color indexed="81"/>
            <rFont val="Tahoma"/>
            <family val="2"/>
          </rPr>
          <t>&lt;[[DEVDeals] - [DEV User Defined Fields (Seq: 1)] Op Budget - Effective Gross Income per Unit - Send]&gt;</t>
        </r>
      </text>
    </comment>
    <comment ref="M260" authorId="1" shapeId="0" xr:uid="{00000000-0006-0000-2100-000079030000}">
      <text>
        <r>
          <rPr>
            <b/>
            <sz val="9"/>
            <color indexed="81"/>
            <rFont val="Tahoma"/>
            <family val="2"/>
          </rPr>
          <t>&lt;[[DEVDeals] - [Associated TC Deal (Seq: 1)] - [TC Property Current Stage (Seq: 1)] Annual EGI Low Income Units - Send]&gt;</t>
        </r>
      </text>
    </comment>
    <comment ref="M262" authorId="1" shapeId="0" xr:uid="{00000000-0006-0000-2100-00007A030000}">
      <text>
        <r>
          <rPr>
            <b/>
            <sz val="9"/>
            <color indexed="81"/>
            <rFont val="Tahoma"/>
            <family val="2"/>
          </rPr>
          <t>&lt;[[DEVDeals] - [Associated TC Deal (Seq: 1)] - [TC Property Current Stage (Seq: 1)] Admin Mgt Fee - Send]&gt;</t>
        </r>
      </text>
    </comment>
    <comment ref="M263" authorId="0" shapeId="0" xr:uid="{00000000-0006-0000-2100-00007B030000}">
      <text>
        <r>
          <rPr>
            <b/>
            <sz val="9"/>
            <color indexed="81"/>
            <rFont val="Tahoma"/>
            <family val="2"/>
          </rPr>
          <t>&lt;[[DEVDeals] - [Associated TC Deal (Seq: 1)] - [TC Property Current Stage (Seq: 1)] Admin Mgt Salaries - Send]&gt;</t>
        </r>
      </text>
    </comment>
    <comment ref="M264" authorId="1" shapeId="0" xr:uid="{00000000-0006-0000-2100-00007C030000}">
      <text>
        <r>
          <rPr>
            <b/>
            <sz val="9"/>
            <color indexed="81"/>
            <rFont val="Tahoma"/>
            <family val="2"/>
          </rPr>
          <t>&lt;[[DEVDeals] - [Associated TC Deal (Seq: 1)] - [TC Property Current Stage (Seq: 1)] Admin Adv Mrktg - Send]&gt;</t>
        </r>
      </text>
    </comment>
    <comment ref="M265" authorId="1" shapeId="0" xr:uid="{00000000-0006-0000-2100-00007D030000}">
      <text>
        <r>
          <rPr>
            <b/>
            <sz val="9"/>
            <color indexed="81"/>
            <rFont val="Tahoma"/>
            <family val="2"/>
          </rPr>
          <t>&lt;[[DEVDeals] - [Associated TC Deal (Seq: 1)] - [TC Property Current Stage (Seq: 1)] Admin Legal - Send]&gt;</t>
        </r>
      </text>
    </comment>
    <comment ref="M266" authorId="1" shapeId="0" xr:uid="{00000000-0006-0000-2100-00007E030000}">
      <text>
        <r>
          <rPr>
            <b/>
            <sz val="9"/>
            <color indexed="81"/>
            <rFont val="Tahoma"/>
            <family val="2"/>
          </rPr>
          <t>&lt;[[DEVDeals] - [Associated TC Deal (Seq: 1)] - [TC Property Current Stage (Seq: 1)] Admin Auditing - Send]&gt;</t>
        </r>
      </text>
    </comment>
    <comment ref="M267" authorId="1" shapeId="0" xr:uid="{00000000-0006-0000-2100-00007F030000}">
      <text>
        <r>
          <rPr>
            <b/>
            <sz val="9"/>
            <color indexed="81"/>
            <rFont val="Tahoma"/>
            <family val="2"/>
          </rPr>
          <t>&lt;[[DEVDeals] - [Associated TC Deal (Seq: 1)] - [TC Property Current Stage (Seq: 1)] Admin Misc - Send]&gt;</t>
        </r>
      </text>
    </comment>
    <comment ref="M270" authorId="1" shapeId="0" xr:uid="{00000000-0006-0000-2100-000080030000}">
      <text>
        <r>
          <rPr>
            <b/>
            <sz val="9"/>
            <color indexed="81"/>
            <rFont val="Tahoma"/>
            <family val="2"/>
          </rPr>
          <t>&lt;[[DEVDeals] - [Associated TC Deal (Seq: 1)] - [TC Property Current Stage (Seq: 1)] Oper Janitor Cleaning Payroll - Send]&gt;</t>
        </r>
      </text>
    </comment>
    <comment ref="M271" authorId="1" shapeId="0" xr:uid="{00000000-0006-0000-2100-000081030000}">
      <text>
        <r>
          <rPr>
            <b/>
            <sz val="9"/>
            <color indexed="81"/>
            <rFont val="Tahoma"/>
            <family val="2"/>
          </rPr>
          <t>&lt;[[DEVDeals] - [Associated TC Deal (Seq: 1)] - [TC Property Current Stage (Seq: 1)] Oper Janitor Cleaning Supplies - Send]&gt;</t>
        </r>
      </text>
    </comment>
    <comment ref="M272" authorId="1" shapeId="0" xr:uid="{00000000-0006-0000-2100-000082030000}">
      <text>
        <r>
          <rPr>
            <b/>
            <sz val="9"/>
            <color indexed="81"/>
            <rFont val="Tahoma"/>
            <family val="2"/>
          </rPr>
          <t>&lt;[[DEVDeals] - [Associated TC Deal (Seq: 1)] - [TC Property Current Stage (Seq: 1)] Oper Janitor Cleaning Contract - Send]&gt;</t>
        </r>
      </text>
    </comment>
    <comment ref="M273" authorId="1" shapeId="0" xr:uid="{00000000-0006-0000-2100-000083030000}">
      <text>
        <r>
          <rPr>
            <b/>
            <sz val="9"/>
            <color indexed="81"/>
            <rFont val="Tahoma"/>
            <family val="2"/>
          </rPr>
          <t>&lt;[[DEVDeals] - [Associated TC Deal (Seq: 1)] - [TC Property Current Stage (Seq: 1)] Utilities Fuel Oil - Send]&gt;</t>
        </r>
      </text>
    </comment>
    <comment ref="M274" authorId="1" shapeId="0" xr:uid="{00000000-0006-0000-2100-000084030000}">
      <text>
        <r>
          <rPr>
            <b/>
            <sz val="9"/>
            <color indexed="81"/>
            <rFont val="Tahoma"/>
            <family val="2"/>
          </rPr>
          <t>&lt;[[DEVDeals] - [Associated TC Deal (Seq: 1)] - [TC Property Current Stage (Seq: 1)] Utilities Electricity - Send]&gt;</t>
        </r>
      </text>
    </comment>
    <comment ref="M275" authorId="1" shapeId="0" xr:uid="{00000000-0006-0000-2100-000085030000}">
      <text>
        <r>
          <rPr>
            <b/>
            <sz val="9"/>
            <color indexed="81"/>
            <rFont val="Tahoma"/>
            <family val="2"/>
          </rPr>
          <t>&lt;[[DEVDeals] - [Associated TC Deal (Seq: 1)] - [TC Property Current Stage (Seq: 1)] Utilities Water - Send]&gt;</t>
        </r>
      </text>
    </comment>
    <comment ref="M276" authorId="1" shapeId="0" xr:uid="{00000000-0006-0000-2100-000086030000}">
      <text>
        <r>
          <rPr>
            <b/>
            <sz val="9"/>
            <color indexed="81"/>
            <rFont val="Tahoma"/>
            <family val="2"/>
          </rPr>
          <t>&lt;[[DEVDeals] - [Associated TC Deal (Seq: 1)] - [TC Property Current Stage (Seq: 1)] Oper Trash Removal - Send]&gt;</t>
        </r>
      </text>
    </comment>
    <comment ref="M278" authorId="1" shapeId="0" xr:uid="{00000000-0006-0000-2100-000087030000}">
      <text>
        <r>
          <rPr>
            <b/>
            <sz val="9"/>
            <color indexed="81"/>
            <rFont val="Tahoma"/>
            <family val="2"/>
          </rPr>
          <t>&lt;[[DEVDeals] - [Associated TC Deal (Seq: 1)] - [TC Property Current Stage (Seq: 1)] Oper Misc - Send]&gt;</t>
        </r>
      </text>
    </comment>
    <comment ref="M281" authorId="1" shapeId="0" xr:uid="{00000000-0006-0000-2100-000088030000}">
      <text>
        <r>
          <rPr>
            <b/>
            <sz val="9"/>
            <color indexed="81"/>
            <rFont val="Tahoma"/>
            <family val="2"/>
          </rPr>
          <t>&lt;[[DEVDeals] - [Associated TC Deal (Seq: 1)] - [TC Property Current Stage (Seq: 1)] Oper Grounds Payroll - Send]&gt;</t>
        </r>
      </text>
    </comment>
    <comment ref="M282" authorId="1" shapeId="0" xr:uid="{00000000-0006-0000-2100-000089030000}">
      <text>
        <r>
          <rPr>
            <b/>
            <sz val="9"/>
            <color indexed="81"/>
            <rFont val="Tahoma"/>
            <family val="2"/>
          </rPr>
          <t>&lt;[[DEVDeals] - [Associated TC Deal (Seq: 1)] - [TC Property Current Stage (Seq: 1)] Oper Grounds Supplies - Send]&gt;</t>
        </r>
      </text>
    </comment>
    <comment ref="M283" authorId="1" shapeId="0" xr:uid="{00000000-0006-0000-2100-00008A030000}">
      <text>
        <r>
          <rPr>
            <b/>
            <sz val="9"/>
            <color indexed="81"/>
            <rFont val="Tahoma"/>
            <family val="2"/>
          </rPr>
          <t>&lt;[[DEVDeals] - [Associated TC Deal (Seq: 1)] - [TC Property Current Stage (Seq: 1)] Oper Grounds Contract - Send]&gt;</t>
        </r>
      </text>
    </comment>
    <comment ref="M285" authorId="1" shapeId="0" xr:uid="{00000000-0006-0000-2100-00008B030000}">
      <text>
        <r>
          <rPr>
            <b/>
            <sz val="9"/>
            <color indexed="81"/>
            <rFont val="Tahoma"/>
            <family val="2"/>
          </rPr>
          <t>&lt;[[DEVDeals] - [Associated TC Deal (Seq: 1)] - [TC Property Current Stage (Seq: 1)] Oper Maint Repair Payroll - Send]&gt;</t>
        </r>
      </text>
    </comment>
    <comment ref="M286" authorId="1" shapeId="0" xr:uid="{00000000-0006-0000-2100-00008C030000}">
      <text>
        <r>
          <rPr>
            <b/>
            <sz val="9"/>
            <color indexed="81"/>
            <rFont val="Tahoma"/>
            <family val="2"/>
          </rPr>
          <t>&lt;[[DEVDeals] - [Associated TC Deal (Seq: 1)] - [TC Property Current Stage (Seq: 1)] Oper Repairs Material - Send]&gt;</t>
        </r>
      </text>
    </comment>
    <comment ref="M287" authorId="1" shapeId="0" xr:uid="{00000000-0006-0000-2100-00008D030000}">
      <text>
        <r>
          <rPr>
            <b/>
            <sz val="9"/>
            <color indexed="81"/>
            <rFont val="Tahoma"/>
            <family val="2"/>
          </rPr>
          <t>&lt;[[DEVDeals] - [Associated TC Deal (Seq: 1)] - [TC Property Current Stage (Seq: 1)] Oper Elevator Maint Contract - Send]&gt;</t>
        </r>
      </text>
    </comment>
    <comment ref="M288" authorId="1" shapeId="0" xr:uid="{00000000-0006-0000-2100-00008E030000}">
      <text>
        <r>
          <rPr>
            <b/>
            <sz val="9"/>
            <color indexed="81"/>
            <rFont val="Tahoma"/>
            <family val="2"/>
          </rPr>
          <t>&lt;[[DEVDeals] - [Associated TC Deal (Seq: 1)] - [TC Property Current Stage (Seq: 1)] Oper Heat Cool Maint Repair - Send]&gt;</t>
        </r>
      </text>
    </comment>
    <comment ref="M293" authorId="1" shapeId="0" xr:uid="{00000000-0006-0000-2100-00008F030000}">
      <text>
        <r>
          <rPr>
            <b/>
            <sz val="9"/>
            <color indexed="81"/>
            <rFont val="Tahoma"/>
            <family val="2"/>
          </rPr>
          <t>&lt;[[DEVDeals] - [Associated TC Deal (Seq: 1)] - [TC Property Current Stage (Seq: 1)] TI Real Estate Taxes - Send]&gt;</t>
        </r>
      </text>
    </comment>
    <comment ref="M294" authorId="1" shapeId="0" xr:uid="{00000000-0006-0000-2100-000090030000}">
      <text>
        <r>
          <rPr>
            <b/>
            <sz val="9"/>
            <color indexed="81"/>
            <rFont val="Tahoma"/>
            <family val="2"/>
          </rPr>
          <t>&lt;[[DEVDeals] - [Associated TC Deal (Seq: 1)] - [TC Property Current Stage (Seq: 1)] TI Prop Liability Insurance - Send]&gt;</t>
        </r>
      </text>
    </comment>
    <comment ref="M295" authorId="0" shapeId="0" xr:uid="{00000000-0006-0000-2100-000091030000}">
      <text>
        <r>
          <rPr>
            <b/>
            <sz val="9"/>
            <color indexed="81"/>
            <rFont val="Tahoma"/>
            <family val="2"/>
          </rPr>
          <t>&lt;[[DEVDeals] - [Associated TC Deal (Seq: 1)] - [TC Property Current Stage (Seq: 1)] Oper Decorating Payroll Contract - Send]&gt;</t>
        </r>
      </text>
    </comment>
    <comment ref="M296" authorId="0" shapeId="0" xr:uid="{00000000-0006-0000-2100-000092030000}">
      <text>
        <r>
          <rPr>
            <b/>
            <sz val="9"/>
            <color indexed="81"/>
            <rFont val="Tahoma"/>
            <family val="2"/>
          </rPr>
          <t>&lt;[[DEVDeals] - [Associated TC Deal (Seq: 1)] - [TC Property Current Stage (Seq: 1)] TI Other Insurance - Send]&gt;</t>
        </r>
      </text>
    </comment>
    <comment ref="M298" authorId="1" shapeId="0" xr:uid="{00000000-0006-0000-2100-000093030000}">
      <text>
        <r>
          <rPr>
            <b/>
            <sz val="9"/>
            <color indexed="81"/>
            <rFont val="Tahoma"/>
            <family val="2"/>
          </rPr>
          <t>&lt;[[DEVDeals] - [Associated TC Deal (Seq: 1)] - [TC Property Current Stage (Seq: 1)] Replacement Reserves - Send]&gt;</t>
        </r>
      </text>
    </comment>
    <comment ref="H306" authorId="1" shapeId="0" xr:uid="{00000000-0006-0000-2100-000094030000}">
      <text>
        <r>
          <rPr>
            <b/>
            <sz val="9"/>
            <color indexed="81"/>
            <rFont val="Tahoma"/>
            <family val="2"/>
          </rPr>
          <t>&lt;[[DEVDeals] - [DEV User Defined Fields (Seq: 1)] Op Budget - Management Fees Annual - Send]&gt;</t>
        </r>
      </text>
    </comment>
    <comment ref="I306" authorId="1" shapeId="0" xr:uid="{00000000-0006-0000-2100-000095030000}">
      <text>
        <r>
          <rPr>
            <b/>
            <sz val="9"/>
            <color indexed="81"/>
            <rFont val="Tahoma"/>
            <family val="2"/>
          </rPr>
          <t>&lt;[[DEVDeals] - [DEV User Defined Fields (Seq: 1)] Op Budget - Management Fees per Unit - Send]&gt;</t>
        </r>
      </text>
    </comment>
    <comment ref="H307" authorId="0" shapeId="0" xr:uid="{00000000-0006-0000-2100-000096030000}">
      <text>
        <r>
          <rPr>
            <b/>
            <sz val="9"/>
            <color indexed="81"/>
            <rFont val="Tahoma"/>
            <family val="2"/>
          </rPr>
          <t>&lt;[[DEVDeals] - [DEV User Defined Fields (Seq: 1)] Op Budget - Office Salaries Annual - Send]&gt;</t>
        </r>
      </text>
    </comment>
    <comment ref="I307" authorId="0" shapeId="0" xr:uid="{00000000-0006-0000-2100-000097030000}">
      <text>
        <r>
          <rPr>
            <b/>
            <sz val="9"/>
            <color indexed="81"/>
            <rFont val="Tahoma"/>
            <family val="2"/>
          </rPr>
          <t>&lt;[[DEVDeals] - [DEV User Defined Fields (Seq: 1)] Op Budget - Office Salaries per Unit - Send]&gt;</t>
        </r>
      </text>
    </comment>
    <comment ref="H308" authorId="0" shapeId="0" xr:uid="{00000000-0006-0000-2100-000098030000}">
      <text>
        <r>
          <rPr>
            <b/>
            <sz val="9"/>
            <color indexed="81"/>
            <rFont val="Tahoma"/>
            <family val="2"/>
          </rPr>
          <t>&lt;[[DEVDeals] - [DEV User Defined Fields (Seq: 1)] Op Budget - Site Office Supplies Annual - Send]&gt;</t>
        </r>
      </text>
    </comment>
    <comment ref="I308" authorId="0" shapeId="0" xr:uid="{00000000-0006-0000-2100-000099030000}">
      <text>
        <r>
          <rPr>
            <b/>
            <sz val="9"/>
            <color indexed="81"/>
            <rFont val="Tahoma"/>
            <family val="2"/>
          </rPr>
          <t>&lt;[[DEVDeals] - [DEV User Defined Fields (Seq: 1)] Op Budget - Site Office Supplies per Unit - Send]&gt;</t>
        </r>
      </text>
    </comment>
    <comment ref="H309" authorId="0" shapeId="0" xr:uid="{00000000-0006-0000-2100-00009A030000}">
      <text>
        <r>
          <rPr>
            <b/>
            <sz val="9"/>
            <color indexed="81"/>
            <rFont val="Tahoma"/>
            <family val="2"/>
          </rPr>
          <t>&lt;[[DEVDeals] - [DEV User Defined Fields (Seq: 1)] Op Budget - Site Manager or Superintendent Salaries Annual - Send]&gt;</t>
        </r>
      </text>
    </comment>
    <comment ref="I309" authorId="0" shapeId="0" xr:uid="{00000000-0006-0000-2100-00009B030000}">
      <text>
        <r>
          <rPr>
            <b/>
            <sz val="9"/>
            <color indexed="81"/>
            <rFont val="Tahoma"/>
            <family val="2"/>
          </rPr>
          <t>&lt;[[DEVDeals] - [DEV User Defined Fields (Seq: 1)] Op Budget - Site Manager or Superintendent Salaries per Unit - Send]&gt;</t>
        </r>
      </text>
    </comment>
    <comment ref="H310" authorId="0" shapeId="0" xr:uid="{00000000-0006-0000-2100-00009C030000}">
      <text>
        <r>
          <rPr>
            <b/>
            <sz val="9"/>
            <color indexed="81"/>
            <rFont val="Tahoma"/>
            <family val="2"/>
          </rPr>
          <t>&lt;[[DEVDeals] - [DEV User Defined Fields (Seq: 1)] Op Budget - Property Bookkeepign Fees / Accounting Servies Annual - Send]&gt;</t>
        </r>
      </text>
    </comment>
    <comment ref="I310" authorId="0" shapeId="0" xr:uid="{00000000-0006-0000-2100-00009D030000}">
      <text>
        <r>
          <rPr>
            <b/>
            <sz val="9"/>
            <color indexed="81"/>
            <rFont val="Tahoma"/>
            <family val="2"/>
          </rPr>
          <t>&lt;[[DEVDeals] - [DEV User Defined Fields (Seq: 1)] Op Budget - Property Bookkeepign Fees / Accounting Servies per Unit - Send]&gt;</t>
        </r>
      </text>
    </comment>
    <comment ref="H311" authorId="0" shapeId="0" xr:uid="{00000000-0006-0000-2100-00009E030000}">
      <text>
        <r>
          <rPr>
            <b/>
            <sz val="9"/>
            <color indexed="81"/>
            <rFont val="Tahoma"/>
            <family val="2"/>
          </rPr>
          <t>&lt;[[DEVDeals] - [DEV User Defined Fields (Seq: 1)] Op Budget - Training Costs for Frontline Staff Annual - Send]&gt;</t>
        </r>
      </text>
    </comment>
    <comment ref="I311" authorId="0" shapeId="0" xr:uid="{00000000-0006-0000-2100-00009F030000}">
      <text>
        <r>
          <rPr>
            <b/>
            <sz val="9"/>
            <color indexed="81"/>
            <rFont val="Tahoma"/>
            <family val="2"/>
          </rPr>
          <t>&lt;[[DEVDeals] - [DEV User Defined Fields (Seq: 1)] Op Budget - Training Costs for Frontline Staff per Unit - Send]&gt;</t>
        </r>
      </text>
    </comment>
    <comment ref="H312" authorId="0" shapeId="0" xr:uid="{00000000-0006-0000-2100-0000A0030000}">
      <text>
        <r>
          <rPr>
            <b/>
            <sz val="9"/>
            <color indexed="81"/>
            <rFont val="Tahoma"/>
            <family val="2"/>
          </rPr>
          <t>&lt;[[DEVDeals] - [DEV User Defined Fields (Seq: 1)] Op Budget - Site Internet, Telephone and Answering Services Annual - Send]&gt;</t>
        </r>
      </text>
    </comment>
    <comment ref="I312" authorId="0" shapeId="0" xr:uid="{00000000-0006-0000-2100-0000A1030000}">
      <text>
        <r>
          <rPr>
            <b/>
            <sz val="9"/>
            <color indexed="81"/>
            <rFont val="Tahoma"/>
            <family val="2"/>
          </rPr>
          <t>&lt;[[DEVDeals] - [DEV User Defined Fields (Seq: 1)] Op Budget - Site Internet, Telephone and Answering Services per Unit - Send]&gt;</t>
        </r>
      </text>
    </comment>
    <comment ref="H313" authorId="1" shapeId="0" xr:uid="{00000000-0006-0000-2100-0000A2030000}">
      <text>
        <r>
          <rPr>
            <b/>
            <sz val="9"/>
            <color indexed="81"/>
            <rFont val="Tahoma"/>
            <family val="2"/>
          </rPr>
          <t>&lt;[[DEVDeals] - [DEV User Defined Fields (Seq: 1)] Op Budget - Management Charges Annual - Send]&gt;</t>
        </r>
      </text>
    </comment>
    <comment ref="I313" authorId="1" shapeId="0" xr:uid="{00000000-0006-0000-2100-0000A3030000}">
      <text>
        <r>
          <rPr>
            <b/>
            <sz val="9"/>
            <color indexed="81"/>
            <rFont val="Tahoma"/>
            <family val="2"/>
          </rPr>
          <t>&lt;[[DEVDeals] - [DEV User Defined Fields (Seq: 1)] Op Budget - Management Charges per Unit - Send]&gt;</t>
        </r>
      </text>
    </comment>
    <comment ref="H314" authorId="1" shapeId="0" xr:uid="{00000000-0006-0000-2100-0000A4030000}">
      <text>
        <r>
          <rPr>
            <b/>
            <sz val="9"/>
            <color indexed="81"/>
            <rFont val="Tahoma"/>
            <family val="2"/>
          </rPr>
          <t>&lt;[[DEVDeals] - [DEV User Defined Fields (Seq: 1)] Op Budget - Marketing Expenses Annual - Send]&gt;</t>
        </r>
      </text>
    </comment>
    <comment ref="I314" authorId="1" shapeId="0" xr:uid="{00000000-0006-0000-2100-0000A5030000}">
      <text>
        <r>
          <rPr>
            <b/>
            <sz val="9"/>
            <color indexed="81"/>
            <rFont val="Tahoma"/>
            <family val="2"/>
          </rPr>
          <t>&lt;[[DEVDeals] - [DEV User Defined Fields (Seq: 1)] Op Budget - Marketing Expenses per Unit - Send]&gt;</t>
        </r>
      </text>
    </comment>
    <comment ref="H315" authorId="1" shapeId="0" xr:uid="{00000000-0006-0000-2100-0000A6030000}">
      <text>
        <r>
          <rPr>
            <b/>
            <sz val="9"/>
            <color indexed="81"/>
            <rFont val="Tahoma"/>
            <family val="2"/>
          </rPr>
          <t>&lt;[[DEVDeals] - [DEV User Defined Fields (Seq: 1)] Op Budget - Legal Expenses Annual - Send]&gt;</t>
        </r>
      </text>
    </comment>
    <comment ref="I315" authorId="1" shapeId="0" xr:uid="{00000000-0006-0000-2100-0000A7030000}">
      <text>
        <r>
          <rPr>
            <b/>
            <sz val="9"/>
            <color indexed="81"/>
            <rFont val="Tahoma"/>
            <family val="2"/>
          </rPr>
          <t>&lt;[[DEVDeals] - [DEV User Defined Fields (Seq: 1)] Op Budget - Legal Expenses per Unit - Send]&gt;</t>
        </r>
      </text>
    </comment>
    <comment ref="H316" authorId="1" shapeId="0" xr:uid="{00000000-0006-0000-2100-0000A8030000}">
      <text>
        <r>
          <rPr>
            <b/>
            <sz val="9"/>
            <color indexed="81"/>
            <rFont val="Tahoma"/>
            <family val="2"/>
          </rPr>
          <t>&lt;[[DEVDeals] - [DEV User Defined Fields (Seq: 1)] Op Budget - Auditing Expenses Annual - Send]&gt;</t>
        </r>
      </text>
    </comment>
    <comment ref="I316" authorId="1" shapeId="0" xr:uid="{00000000-0006-0000-2100-0000A9030000}">
      <text>
        <r>
          <rPr>
            <b/>
            <sz val="9"/>
            <color indexed="81"/>
            <rFont val="Tahoma"/>
            <family val="2"/>
          </rPr>
          <t>&lt;[[DEVDeals] - [DEV User Defined Fields (Seq: 1)] Op Budget - Auditing Expenses per Unit - Send]&gt;</t>
        </r>
      </text>
    </comment>
    <comment ref="H317" authorId="1" shapeId="0" xr:uid="{00000000-0006-0000-2100-0000AA030000}">
      <text>
        <r>
          <rPr>
            <b/>
            <sz val="9"/>
            <color indexed="81"/>
            <rFont val="Tahoma"/>
            <family val="2"/>
          </rPr>
          <t>&lt;[[DEVDeals] - [DEV User Defined Fields (Seq: 1)] Op Budget - Other Administrative Expenses Annual - Send]&gt;</t>
        </r>
      </text>
    </comment>
    <comment ref="I317" authorId="1" shapeId="0" xr:uid="{00000000-0006-0000-2100-0000AB030000}">
      <text>
        <r>
          <rPr>
            <b/>
            <sz val="9"/>
            <color indexed="81"/>
            <rFont val="Tahoma"/>
            <family val="2"/>
          </rPr>
          <t>&lt;[[DEVDeals] - [DEV User Defined Fields (Seq: 1)] Op Budget - Other Administrative Expenses per Unit - Send]&gt;</t>
        </r>
      </text>
    </comment>
    <comment ref="H320" authorId="1" shapeId="0" xr:uid="{00000000-0006-0000-2100-0000AC030000}">
      <text>
        <r>
          <rPr>
            <b/>
            <sz val="9"/>
            <color indexed="81"/>
            <rFont val="Tahoma"/>
            <family val="2"/>
          </rPr>
          <t>&lt;[[DEVDeals] - [DEV User Defined Fields (Seq: 1)] Op Budget - Janitorial Payroll Annual - Send]&gt;</t>
        </r>
      </text>
    </comment>
    <comment ref="I320" authorId="1" shapeId="0" xr:uid="{00000000-0006-0000-2100-0000AD030000}">
      <text>
        <r>
          <rPr>
            <b/>
            <sz val="9"/>
            <color indexed="81"/>
            <rFont val="Tahoma"/>
            <family val="2"/>
          </rPr>
          <t>&lt;[[DEVDeals] - [DEV User Defined Fields (Seq: 1)] Op Budget - Janitorial Payroll per Unit - Send]&gt;</t>
        </r>
      </text>
    </comment>
    <comment ref="H321" authorId="1" shapeId="0" xr:uid="{00000000-0006-0000-2100-0000AE030000}">
      <text>
        <r>
          <rPr>
            <b/>
            <sz val="9"/>
            <color indexed="81"/>
            <rFont val="Tahoma"/>
            <family val="2"/>
          </rPr>
          <t>&lt;[[DEVDeals] - [DEV User Defined Fields (Seq: 1)] Op Budget - Janitorial Supplies and Equipment Annual - Send]&gt;</t>
        </r>
      </text>
    </comment>
    <comment ref="I321" authorId="1" shapeId="0" xr:uid="{00000000-0006-0000-2100-0000AF030000}">
      <text>
        <r>
          <rPr>
            <b/>
            <sz val="9"/>
            <color indexed="81"/>
            <rFont val="Tahoma"/>
            <family val="2"/>
          </rPr>
          <t>&lt;[[DEVDeals] - [DEV User Defined Fields (Seq: 1)] Op Budget - Janitorial Supplies and Equipment per Unit - Send]&gt;</t>
        </r>
      </text>
    </comment>
    <comment ref="H322" authorId="1" shapeId="0" xr:uid="{00000000-0006-0000-2100-0000B0030000}">
      <text>
        <r>
          <rPr>
            <b/>
            <sz val="9"/>
            <color indexed="81"/>
            <rFont val="Tahoma"/>
            <family val="2"/>
          </rPr>
          <t>&lt;[[DEVDeals] - [DEV User Defined Fields (Seq: 1)] Op Budget - Janitorial Contractual Services Annual - Send]&gt;</t>
        </r>
      </text>
    </comment>
    <comment ref="I322" authorId="1" shapeId="0" xr:uid="{00000000-0006-0000-2100-0000B1030000}">
      <text>
        <r>
          <rPr>
            <b/>
            <sz val="9"/>
            <color indexed="81"/>
            <rFont val="Tahoma"/>
            <family val="2"/>
          </rPr>
          <t>&lt;[[DEVDeals] - [DEV User Defined Fields (Seq: 1)] Op Budget - Janitorial Contractual Services per Unit - Send]&gt;</t>
        </r>
      </text>
    </comment>
    <comment ref="H323" authorId="0" shapeId="0" xr:uid="{00000000-0006-0000-2100-0000B2030000}">
      <text>
        <r>
          <rPr>
            <b/>
            <sz val="9"/>
            <color indexed="81"/>
            <rFont val="Tahoma"/>
            <family val="2"/>
          </rPr>
          <t>&lt;[[DEVDeals] - [DEV User Defined Fields (Seq: 1)] Op Budget - Oil Annual - Send]&gt;</t>
        </r>
      </text>
    </comment>
    <comment ref="I323" authorId="0" shapeId="0" xr:uid="{00000000-0006-0000-2100-0000B3030000}">
      <text>
        <r>
          <rPr>
            <b/>
            <sz val="9"/>
            <color indexed="81"/>
            <rFont val="Tahoma"/>
            <family val="2"/>
          </rPr>
          <t>&lt;[[DEVDeals] - [DEV User Defined Fields (Seq: 1)] Op Budget - Oil per Unit - Send]&gt;</t>
        </r>
      </text>
    </comment>
    <comment ref="H324" authorId="0" shapeId="0" xr:uid="{00000000-0006-0000-2100-0000B4030000}">
      <text>
        <r>
          <rPr>
            <b/>
            <sz val="9"/>
            <color indexed="81"/>
            <rFont val="Tahoma"/>
            <family val="2"/>
          </rPr>
          <t>&lt;[[DEVDeals] - [DEV User Defined Fields (Seq: 1)] Op Budget - Gas Annual - Send]&gt;</t>
        </r>
      </text>
    </comment>
    <comment ref="I324" authorId="0" shapeId="0" xr:uid="{00000000-0006-0000-2100-0000B5030000}">
      <text>
        <r>
          <rPr>
            <b/>
            <sz val="9"/>
            <color indexed="81"/>
            <rFont val="Tahoma"/>
            <family val="2"/>
          </rPr>
          <t>&lt;[[DEVDeals] - [DEV User Defined Fields (Seq: 1)] Op Budget - Gas per Unit - Send]&gt;</t>
        </r>
      </text>
    </comment>
    <comment ref="H325" authorId="1" shapeId="0" xr:uid="{00000000-0006-0000-2100-0000B6030000}">
      <text>
        <r>
          <rPr>
            <b/>
            <sz val="9"/>
            <color indexed="81"/>
            <rFont val="Tahoma"/>
            <family val="2"/>
          </rPr>
          <t>&lt;[[DEVDeals] - [DEV User Defined Fields (Seq: 1)] Op Budget - Electricity Annual - Send]&gt;</t>
        </r>
      </text>
    </comment>
    <comment ref="I325" authorId="1" shapeId="0" xr:uid="{00000000-0006-0000-2100-0000B7030000}">
      <text>
        <r>
          <rPr>
            <b/>
            <sz val="9"/>
            <color indexed="81"/>
            <rFont val="Tahoma"/>
            <family val="2"/>
          </rPr>
          <t>&lt;[[DEVDeals] - [DEV User Defined Fields (Seq: 1)] Op Budget - Electricity per Unit - Send]&gt;</t>
        </r>
      </text>
    </comment>
    <comment ref="H326" authorId="0" shapeId="0" xr:uid="{00000000-0006-0000-2100-0000B8030000}">
      <text>
        <r>
          <rPr>
            <b/>
            <sz val="9"/>
            <color indexed="81"/>
            <rFont val="Tahoma"/>
            <family val="2"/>
          </rPr>
          <t>&lt;[[DEVDeals] - [DEV User Defined Fields (Seq: 1)] Op Budget - Water Annual - Send]&gt;</t>
        </r>
      </text>
    </comment>
    <comment ref="I326" authorId="0" shapeId="0" xr:uid="{00000000-0006-0000-2100-0000B9030000}">
      <text>
        <r>
          <rPr>
            <b/>
            <sz val="9"/>
            <color indexed="81"/>
            <rFont val="Tahoma"/>
            <family val="2"/>
          </rPr>
          <t>&lt;[[DEVDeals] - [DEV User Defined Fields (Seq: 1)] Op Budget - Water per Unit - Send]&gt;</t>
        </r>
      </text>
    </comment>
    <comment ref="H327" authorId="0" shapeId="0" xr:uid="{00000000-0006-0000-2100-0000BA030000}">
      <text>
        <r>
          <rPr>
            <b/>
            <sz val="9"/>
            <color indexed="81"/>
            <rFont val="Tahoma"/>
            <family val="2"/>
          </rPr>
          <t>&lt;[[DEVDeals] - [DEV User Defined Fields (Seq: 1)] Op Budget - Sewer Annual - Send]&gt;</t>
        </r>
      </text>
    </comment>
    <comment ref="I327" authorId="0" shapeId="0" xr:uid="{00000000-0006-0000-2100-0000BB030000}">
      <text>
        <r>
          <rPr>
            <b/>
            <sz val="9"/>
            <color indexed="81"/>
            <rFont val="Tahoma"/>
            <family val="2"/>
          </rPr>
          <t>&lt;[[DEVDeals] - [DEV User Defined Fields (Seq: 1)] Op Budget - Sewer per Unit - Send]&gt;</t>
        </r>
      </text>
    </comment>
    <comment ref="H328" authorId="1" shapeId="0" xr:uid="{00000000-0006-0000-2100-0000BC030000}">
      <text>
        <r>
          <rPr>
            <b/>
            <sz val="9"/>
            <color indexed="81"/>
            <rFont val="Tahoma"/>
            <family val="2"/>
          </rPr>
          <t>&lt;[[DEVDeals] - [DEV User Defined Fields (Seq: 1)] Op Budget - Garbage and Trash Removal Annual - Send]&gt;</t>
        </r>
      </text>
    </comment>
    <comment ref="I328" authorId="1" shapeId="0" xr:uid="{00000000-0006-0000-2100-0000BD030000}">
      <text>
        <r>
          <rPr>
            <b/>
            <sz val="9"/>
            <color indexed="81"/>
            <rFont val="Tahoma"/>
            <family val="2"/>
          </rPr>
          <t>&lt;[[DEVDeals] - [DEV User Defined Fields (Seq: 1)] Op Budget - Garbage and Trash Removal per Unit - Send]&gt;</t>
        </r>
      </text>
    </comment>
    <comment ref="H329" authorId="1" shapeId="0" xr:uid="{00000000-0006-0000-2100-0000BE030000}">
      <text>
        <r>
          <rPr>
            <b/>
            <sz val="9"/>
            <color indexed="81"/>
            <rFont val="Tahoma"/>
            <family val="2"/>
          </rPr>
          <t>&lt;[[DEVDeals] - [DEV User Defined Fields (Seq: 1)] Op Budget - Vehicle and Equipment Expenses Annual - Send]&gt;</t>
        </r>
      </text>
    </comment>
    <comment ref="I329" authorId="1" shapeId="0" xr:uid="{00000000-0006-0000-2100-0000BF030000}">
      <text>
        <r>
          <rPr>
            <b/>
            <sz val="9"/>
            <color indexed="81"/>
            <rFont val="Tahoma"/>
            <family val="2"/>
          </rPr>
          <t>&lt;[[DEVDeals] - [DEV User Defined Fields (Seq: 1)] Op Budget - Vehicle and Equipment Expenses per Unit - Send]&gt;</t>
        </r>
      </text>
    </comment>
    <comment ref="H330" authorId="1" shapeId="0" xr:uid="{00000000-0006-0000-2100-0000C0030000}">
      <text>
        <r>
          <rPr>
            <b/>
            <sz val="9"/>
            <color indexed="81"/>
            <rFont val="Tahoma"/>
            <family val="2"/>
          </rPr>
          <t>&lt;[[DEVDeals] - [DEV User Defined Fields (Seq: 1)] Op Budget - Other Operating Expenses Annual - Send]&gt;</t>
        </r>
      </text>
    </comment>
    <comment ref="I330" authorId="1" shapeId="0" xr:uid="{00000000-0006-0000-2100-0000C1030000}">
      <text>
        <r>
          <rPr>
            <b/>
            <sz val="9"/>
            <color indexed="81"/>
            <rFont val="Tahoma"/>
            <family val="2"/>
          </rPr>
          <t>&lt;[[DEVDeals] - [DEV User Defined Fields (Seq: 1)] Op Budget - Other Operating Expenses per Unit - Send]&gt;</t>
        </r>
      </text>
    </comment>
    <comment ref="H333" authorId="1" shapeId="0" xr:uid="{00000000-0006-0000-2100-0000C2030000}">
      <text>
        <r>
          <rPr>
            <b/>
            <sz val="9"/>
            <color indexed="81"/>
            <rFont val="Tahoma"/>
            <family val="2"/>
          </rPr>
          <t>&lt;[[DEVDeals] - [DEV User Defined Fields (Seq: 1)] Op Budget - Grounds Maintenance Payroll Annual - Send]&gt;</t>
        </r>
      </text>
    </comment>
    <comment ref="I333" authorId="1" shapeId="0" xr:uid="{00000000-0006-0000-2100-0000C3030000}">
      <text>
        <r>
          <rPr>
            <b/>
            <sz val="9"/>
            <color indexed="81"/>
            <rFont val="Tahoma"/>
            <family val="2"/>
          </rPr>
          <t>&lt;[[DEVDeals] - [DEV User Defined Fields (Seq: 1)] Op Budget - Grounds Maintenance Payroll per Unit - Send]&gt;</t>
        </r>
      </text>
    </comment>
    <comment ref="H334" authorId="1" shapeId="0" xr:uid="{00000000-0006-0000-2100-0000C4030000}">
      <text>
        <r>
          <rPr>
            <b/>
            <sz val="9"/>
            <color indexed="81"/>
            <rFont val="Tahoma"/>
            <family val="2"/>
          </rPr>
          <t>&lt;[[DEVDeals] - [DEV User Defined Fields (Seq: 1)] Op Budget - Grounds Tools and Supplies Annual - Send]&gt;</t>
        </r>
      </text>
    </comment>
    <comment ref="I334" authorId="1" shapeId="0" xr:uid="{00000000-0006-0000-2100-0000C5030000}">
      <text>
        <r>
          <rPr>
            <b/>
            <sz val="9"/>
            <color indexed="81"/>
            <rFont val="Tahoma"/>
            <family val="2"/>
          </rPr>
          <t>&lt;[[DEVDeals] - [DEV User Defined Fields (Seq: 1)] Op Budget - Grounds Tools and Supplies per Unit - Send]&gt;</t>
        </r>
      </text>
    </comment>
    <comment ref="H335" authorId="1" shapeId="0" xr:uid="{00000000-0006-0000-2100-0000C6030000}">
      <text>
        <r>
          <rPr>
            <b/>
            <sz val="9"/>
            <color indexed="81"/>
            <rFont val="Tahoma"/>
            <family val="2"/>
          </rPr>
          <t>&lt;[[DEVDeals] - [DEV User Defined Fields (Seq: 1)] Op Budget - Grounds Contractual Services Annual - Send]&gt;</t>
        </r>
      </text>
    </comment>
    <comment ref="I335" authorId="1" shapeId="0" xr:uid="{00000000-0006-0000-2100-0000C7030000}">
      <text>
        <r>
          <rPr>
            <b/>
            <sz val="9"/>
            <color indexed="81"/>
            <rFont val="Tahoma"/>
            <family val="2"/>
          </rPr>
          <t>&lt;[[DEVDeals] - [DEV User Defined Fields (Seq: 1)] Op Budget - Grounds Contractual Services per Unit - Send]&gt;</t>
        </r>
      </text>
    </comment>
    <comment ref="H336" authorId="1" shapeId="0" xr:uid="{00000000-0006-0000-2100-0000C8030000}">
      <text>
        <r>
          <rPr>
            <b/>
            <sz val="9"/>
            <color indexed="81"/>
            <rFont val="Tahoma"/>
            <family val="2"/>
          </rPr>
          <t>&lt;[[DEVDeals] - [DEV User Defined Fields (Seq: 1)] Op Budget - Miscellaneous Ground Maintenance Annual - Send]&gt;</t>
        </r>
      </text>
    </comment>
    <comment ref="I336" authorId="1" shapeId="0" xr:uid="{00000000-0006-0000-2100-0000C9030000}">
      <text>
        <r>
          <rPr>
            <b/>
            <sz val="9"/>
            <color indexed="81"/>
            <rFont val="Tahoma"/>
            <family val="2"/>
          </rPr>
          <t>&lt;[[DEVDeals] - [DEV User Defined Fields (Seq: 1)] Op Budget - Miscellaneous Ground Maintenance per Unit - Send]&gt;</t>
        </r>
      </text>
    </comment>
    <comment ref="H338" authorId="1" shapeId="0" xr:uid="{00000000-0006-0000-2100-0000CA030000}">
      <text>
        <r>
          <rPr>
            <b/>
            <sz val="9"/>
            <color indexed="81"/>
            <rFont val="Tahoma"/>
            <family val="2"/>
          </rPr>
          <t>&lt;[[DEVDeals] - [DEV User Defined Fields (Seq: 1)] Op Budget - Building Maintenance Payroll Annual - Send]&gt;</t>
        </r>
      </text>
    </comment>
    <comment ref="I338" authorId="1" shapeId="0" xr:uid="{00000000-0006-0000-2100-0000CB030000}">
      <text>
        <r>
          <rPr>
            <b/>
            <sz val="9"/>
            <color indexed="81"/>
            <rFont val="Tahoma"/>
            <family val="2"/>
          </rPr>
          <t>&lt;[[DEVDeals] - [DEV User Defined Fields (Seq: 1)] Op Budget - Building Maintenance Payroll per Unit - Send]&gt;</t>
        </r>
      </text>
    </comment>
    <comment ref="H339" authorId="1" shapeId="0" xr:uid="{00000000-0006-0000-2100-0000CC030000}">
      <text>
        <r>
          <rPr>
            <b/>
            <sz val="9"/>
            <color indexed="81"/>
            <rFont val="Tahoma"/>
            <family val="2"/>
          </rPr>
          <t>&lt;[[DEVDeals] - [DEV User Defined Fields (Seq: 1)] Op Budget - Building Tools and Supplies Annual - Send]&gt;</t>
        </r>
      </text>
    </comment>
    <comment ref="I339" authorId="1" shapeId="0" xr:uid="{00000000-0006-0000-2100-0000CD030000}">
      <text>
        <r>
          <rPr>
            <b/>
            <sz val="9"/>
            <color indexed="81"/>
            <rFont val="Tahoma"/>
            <family val="2"/>
          </rPr>
          <t>&lt;[[DEVDeals] - [DEV User Defined Fields (Seq: 1)] Op Budget - Building Tools and Supplies per Unit - Send]&gt;</t>
        </r>
      </text>
    </comment>
    <comment ref="H340" authorId="1" shapeId="0" xr:uid="{00000000-0006-0000-2100-0000CE030000}">
      <text>
        <r>
          <rPr>
            <b/>
            <sz val="9"/>
            <color indexed="81"/>
            <rFont val="Tahoma"/>
            <family val="2"/>
          </rPr>
          <t>&lt;[[DEVDeals] - [DEV User Defined Fields (Seq: 1)] Op Budget - Building Contractual Services Annual - Send]&gt;</t>
        </r>
      </text>
    </comment>
    <comment ref="I340" authorId="1" shapeId="0" xr:uid="{00000000-0006-0000-2100-0000CF030000}">
      <text>
        <r>
          <rPr>
            <b/>
            <sz val="9"/>
            <color indexed="81"/>
            <rFont val="Tahoma"/>
            <family val="2"/>
          </rPr>
          <t>&lt;[[DEVDeals] - [DEV User Defined Fields (Seq: 1)] Op Budget - Building Contractual Services per Unit - Send]&gt;</t>
        </r>
      </text>
    </comment>
    <comment ref="H341" authorId="1" shapeId="0" xr:uid="{00000000-0006-0000-2100-0000D0030000}">
      <text>
        <r>
          <rPr>
            <b/>
            <sz val="9"/>
            <color indexed="81"/>
            <rFont val="Tahoma"/>
            <family val="2"/>
          </rPr>
          <t>&lt;[[DEVDeals] - [DEV User Defined Fields (Seq: 1)] Op Budget - Building Systems Maintenance Annual - Send]&gt;</t>
        </r>
      </text>
    </comment>
    <comment ref="I341" authorId="1" shapeId="0" xr:uid="{00000000-0006-0000-2100-0000D1030000}">
      <text>
        <r>
          <rPr>
            <b/>
            <sz val="9"/>
            <color indexed="81"/>
            <rFont val="Tahoma"/>
            <family val="2"/>
          </rPr>
          <t>&lt;[[DEVDeals] - [DEV User Defined Fields (Seq: 1)] Op Budget - Building Systems Maintenance per Unit - Send]&gt;</t>
        </r>
      </text>
    </comment>
    <comment ref="H342" authorId="1" shapeId="0" xr:uid="{00000000-0006-0000-2100-0000D2030000}">
      <text>
        <r>
          <rPr>
            <b/>
            <sz val="9"/>
            <color indexed="81"/>
            <rFont val="Tahoma"/>
            <family val="2"/>
          </rPr>
          <t>&lt;[[DEVDeals] - [DEV User Defined Fields (Seq: 1)] Op Budget - Miscellaneous Building Maintenance Annual - Send]&gt;</t>
        </r>
      </text>
    </comment>
    <comment ref="I342" authorId="1" shapeId="0" xr:uid="{00000000-0006-0000-2100-0000D3030000}">
      <text>
        <r>
          <rPr>
            <b/>
            <sz val="9"/>
            <color indexed="81"/>
            <rFont val="Tahoma"/>
            <family val="2"/>
          </rPr>
          <t>&lt;[[DEVDeals] - [DEV User Defined Fields (Seq: 1)] Op Budget - Miscellaneous Building Maintenance per Unit - Send]&gt;</t>
        </r>
      </text>
    </comment>
    <comment ref="H346" authorId="1" shapeId="0" xr:uid="{00000000-0006-0000-2100-0000D4030000}">
      <text>
        <r>
          <rPr>
            <b/>
            <sz val="9"/>
            <color indexed="81"/>
            <rFont val="Tahoma"/>
            <family val="2"/>
          </rPr>
          <t>&lt;[[DEVDeals] - [DEV User Defined Fields (Seq: 1)] Op Budget - Property Taxes Annual - Send]&gt;</t>
        </r>
      </text>
    </comment>
    <comment ref="I346" authorId="1" shapeId="0" xr:uid="{00000000-0006-0000-2100-0000D5030000}">
      <text>
        <r>
          <rPr>
            <b/>
            <sz val="9"/>
            <color indexed="81"/>
            <rFont val="Tahoma"/>
            <family val="2"/>
          </rPr>
          <t>&lt;[[DEVDeals] - [DEV User Defined Fields (Seq: 1)] Op Budget - Property Taxes per Unit - Send]&gt;</t>
        </r>
      </text>
    </comment>
    <comment ref="H347" authorId="1" shapeId="0" xr:uid="{00000000-0006-0000-2100-0000D6030000}">
      <text>
        <r>
          <rPr>
            <b/>
            <sz val="9"/>
            <color indexed="81"/>
            <rFont val="Tahoma"/>
            <family val="2"/>
          </rPr>
          <t>&lt;[[DEVDeals] - [DEV User Defined Fields (Seq: 1)] Op Budget - Property and Liability Insurance Annual - Send]&gt;</t>
        </r>
      </text>
    </comment>
    <comment ref="I347" authorId="1" shapeId="0" xr:uid="{00000000-0006-0000-2100-0000D7030000}">
      <text>
        <r>
          <rPr>
            <b/>
            <sz val="9"/>
            <color indexed="81"/>
            <rFont val="Tahoma"/>
            <family val="2"/>
          </rPr>
          <t>&lt;[[DEVDeals] - [DEV User Defined Fields (Seq: 1)] Op Budget - Property and Liability Insurance per Unit - Send]&gt;</t>
        </r>
      </text>
    </comment>
    <comment ref="H348" authorId="0" shapeId="0" xr:uid="{00000000-0006-0000-2100-0000D8030000}">
      <text>
        <r>
          <rPr>
            <b/>
            <sz val="9"/>
            <color indexed="81"/>
            <rFont val="Tahoma"/>
            <family val="2"/>
          </rPr>
          <t>&lt;[[DEVDeals] - [DEV User Defined Fields (Seq: 1)] Op Budget - Tenant Service Expenses Annual - Send]&gt;</t>
        </r>
      </text>
    </comment>
    <comment ref="I348" authorId="0" shapeId="0" xr:uid="{00000000-0006-0000-2100-0000D9030000}">
      <text>
        <r>
          <rPr>
            <b/>
            <sz val="9"/>
            <color indexed="81"/>
            <rFont val="Tahoma"/>
            <family val="2"/>
          </rPr>
          <t>&lt;[[DEVDeals] - [DEV User Defined Fields (Seq: 1)] Op Budget - Tenant Service Expenses per Unit - Send]&gt;</t>
        </r>
      </text>
    </comment>
    <comment ref="H349" authorId="1" shapeId="0" xr:uid="{00000000-0006-0000-2100-0000DA030000}">
      <text>
        <r>
          <rPr>
            <b/>
            <sz val="9"/>
            <color indexed="81"/>
            <rFont val="Tahoma"/>
            <family val="2"/>
          </rPr>
          <t>&lt;[[DEVDeals] - [DEV User Defined Fields (Seq: 1)] Op Budget - Other General Expenses Annual - Send]&gt;</t>
        </r>
      </text>
    </comment>
    <comment ref="I349" authorId="1" shapeId="0" xr:uid="{00000000-0006-0000-2100-0000DB030000}">
      <text>
        <r>
          <rPr>
            <b/>
            <sz val="9"/>
            <color indexed="81"/>
            <rFont val="Tahoma"/>
            <family val="2"/>
          </rPr>
          <t>&lt;[[DEVDeals] - [DEV User Defined Fields (Seq: 1)] Op Budget - Other General Expenses per Unit - Send]&gt;</t>
        </r>
      </text>
    </comment>
    <comment ref="H351" authorId="1" shapeId="0" xr:uid="{00000000-0006-0000-2100-0000DC030000}">
      <text>
        <r>
          <rPr>
            <b/>
            <sz val="9"/>
            <color indexed="81"/>
            <rFont val="Tahoma"/>
            <family val="2"/>
          </rPr>
          <t>&lt;[[DEVDeals] - [DEV User Defined Fields (Seq: 1)] Op Budget - Replacement Reserve Funding Annual - Send]&gt;</t>
        </r>
      </text>
    </comment>
    <comment ref="I351" authorId="1" shapeId="0" xr:uid="{00000000-0006-0000-2100-0000DD030000}">
      <text>
        <r>
          <rPr>
            <b/>
            <sz val="9"/>
            <color indexed="81"/>
            <rFont val="Tahoma"/>
            <family val="2"/>
          </rPr>
          <t>&lt;[[DEVDeals] - [DEV User Defined Fields (Seq: 1)] Op Budget - Replacement Reserve Funding per Unit - Send]&gt;</t>
        </r>
      </text>
    </comment>
    <comment ref="H352" authorId="1" shapeId="0" xr:uid="{00000000-0006-0000-2100-0000DE030000}">
      <text>
        <r>
          <rPr>
            <b/>
            <sz val="9"/>
            <color indexed="81"/>
            <rFont val="Tahoma"/>
            <family val="2"/>
          </rPr>
          <t>&lt;[[DEVDeals] - [DEV User Defined Fields (Seq: 1)] Op Budget - Commercial Expenses (if applicable) Annual - Send]&gt;</t>
        </r>
      </text>
    </comment>
    <comment ref="I352" authorId="1" shapeId="0" xr:uid="{00000000-0006-0000-2100-0000DF030000}">
      <text>
        <r>
          <rPr>
            <b/>
            <sz val="9"/>
            <color indexed="81"/>
            <rFont val="Tahoma"/>
            <family val="2"/>
          </rPr>
          <t>&lt;[[DEVDeals] - [DEV User Defined Fields (Seq: 1)] Op Budget - Commercial Expenses (if applicable) per Unit - Send]&gt;</t>
        </r>
      </text>
    </comment>
    <comment ref="I361" authorId="0" shapeId="0" xr:uid="{00000000-0006-0000-2100-0000E0030000}">
      <text>
        <r>
          <rPr>
            <b/>
            <sz val="9"/>
            <color indexed="81"/>
            <rFont val="Tahoma"/>
            <family val="2"/>
          </rPr>
          <t>&lt;[[DEVDeals] - [DEV User Defined Fields (Seq: 1)] Op Budget Other - Other Administrative Expenses - Send]&gt;</t>
        </r>
      </text>
    </comment>
    <comment ref="J361" authorId="0" shapeId="0" xr:uid="{00000000-0006-0000-2100-0000E1030000}">
      <text>
        <r>
          <rPr>
            <b/>
            <sz val="9"/>
            <color indexed="81"/>
            <rFont val="Tahoma"/>
            <family val="2"/>
          </rPr>
          <t>&lt;[[DEVDeals] - [DEV User Defined Fields (Seq: 1)] Op Budget Other - Other Administrative Expenses Amount - Send]&gt;</t>
        </r>
      </text>
    </comment>
    <comment ref="I362" authorId="0" shapeId="0" xr:uid="{00000000-0006-0000-2100-0000E2030000}">
      <text>
        <r>
          <rPr>
            <b/>
            <sz val="9"/>
            <color indexed="81"/>
            <rFont val="Tahoma"/>
            <family val="2"/>
          </rPr>
          <t>&lt;[[DEVDeals] - [DEV User Defined Fields (Seq: 1)] Op Budget Other - Other Operating Expenses - Send]&gt;</t>
        </r>
      </text>
    </comment>
    <comment ref="J362" authorId="0" shapeId="0" xr:uid="{00000000-0006-0000-2100-0000E3030000}">
      <text>
        <r>
          <rPr>
            <b/>
            <sz val="9"/>
            <color indexed="81"/>
            <rFont val="Tahoma"/>
            <family val="2"/>
          </rPr>
          <t>&lt;[[DEVDeals] - [DEV User Defined Fields (Seq: 1)] Op Budget Other - Other Operating Expenses Amount - Send]&gt;</t>
        </r>
      </text>
    </comment>
    <comment ref="I363" authorId="0" shapeId="0" xr:uid="{00000000-0006-0000-2100-0000E4030000}">
      <text>
        <r>
          <rPr>
            <b/>
            <sz val="9"/>
            <color indexed="81"/>
            <rFont val="Tahoma"/>
            <family val="2"/>
          </rPr>
          <t>&lt;[[DEVDeals] - [DEV User Defined Fields (Seq: 1)] Op Budget Other - Misc Ground Maintenance - Send]&gt;</t>
        </r>
      </text>
    </comment>
    <comment ref="J363" authorId="0" shapeId="0" xr:uid="{00000000-0006-0000-2100-0000E5030000}">
      <text>
        <r>
          <rPr>
            <b/>
            <sz val="9"/>
            <color indexed="81"/>
            <rFont val="Tahoma"/>
            <family val="2"/>
          </rPr>
          <t>&lt;[[DEVDeals] - [DEV User Defined Fields (Seq: 1)] Op Budget Other - Misc Ground Maintenance Amount - Send]&gt;</t>
        </r>
      </text>
    </comment>
    <comment ref="I364" authorId="0" shapeId="0" xr:uid="{00000000-0006-0000-2100-0000E6030000}">
      <text>
        <r>
          <rPr>
            <b/>
            <sz val="9"/>
            <color indexed="81"/>
            <rFont val="Tahoma"/>
            <family val="2"/>
          </rPr>
          <t>&lt;[[DEVDeals] - [DEV User Defined Fields (Seq: 1)] Op Budget Other - Misc Building Maintenance - Send]&gt;</t>
        </r>
      </text>
    </comment>
    <comment ref="J364" authorId="0" shapeId="0" xr:uid="{00000000-0006-0000-2100-0000E7030000}">
      <text>
        <r>
          <rPr>
            <b/>
            <sz val="9"/>
            <color indexed="81"/>
            <rFont val="Tahoma"/>
            <family val="2"/>
          </rPr>
          <t>&lt;[[DEVDeals] - [DEV User Defined Fields (Seq: 1)] Op Budget Other - Misc Building Maintenance Amount - Send]&gt;</t>
        </r>
      </text>
    </comment>
    <comment ref="I365" authorId="0" shapeId="0" xr:uid="{00000000-0006-0000-2100-0000E8030000}">
      <text>
        <r>
          <rPr>
            <b/>
            <sz val="9"/>
            <color indexed="81"/>
            <rFont val="Tahoma"/>
            <family val="2"/>
          </rPr>
          <t>&lt;[[DEVDeals] - [DEV User Defined Fields (Seq: 1)] Op Budget Other - Other General Expenses - Send]&gt;</t>
        </r>
      </text>
    </comment>
    <comment ref="J365" authorId="0" shapeId="0" xr:uid="{00000000-0006-0000-2100-0000E9030000}">
      <text>
        <r>
          <rPr>
            <b/>
            <sz val="9"/>
            <color indexed="81"/>
            <rFont val="Tahoma"/>
            <family val="2"/>
          </rPr>
          <t>&lt;[[DEVDeals] - [DEV User Defined Fields (Seq: 1)] Op Budget Other - Other General Expenses Amount - Send]&gt;</t>
        </r>
      </text>
    </comment>
    <comment ref="I370" authorId="1" shapeId="0" xr:uid="{00000000-0006-0000-2100-0000EA030000}">
      <text>
        <r>
          <rPr>
            <b/>
            <sz val="9"/>
            <color indexed="81"/>
            <rFont val="Tahoma"/>
            <family val="2"/>
          </rPr>
          <t>&lt;[[DEVDeals] - [Associated TC Deal (Seq: 1)] - [TC Property Current Stage (Seq: 1)] Debt Coverage Ratio Year 1 - Send]&gt;</t>
        </r>
      </text>
    </comment>
    <comment ref="I371" authorId="1" shapeId="0" xr:uid="{00000000-0006-0000-2100-0000EB030000}">
      <text>
        <r>
          <rPr>
            <b/>
            <sz val="9"/>
            <color indexed="81"/>
            <rFont val="Tahoma"/>
            <family val="2"/>
          </rPr>
          <t>&lt;[[DEVDeals] - [Associated TC Deal (Seq: 1)] - [TC Property Current Stage (Seq: 1)] Debt Coverage Ratio Year 2 - Send]&gt;</t>
        </r>
      </text>
    </comment>
    <comment ref="I372" authorId="1" shapeId="0" xr:uid="{00000000-0006-0000-2100-0000EC030000}">
      <text>
        <r>
          <rPr>
            <b/>
            <sz val="9"/>
            <color indexed="81"/>
            <rFont val="Tahoma"/>
            <family val="2"/>
          </rPr>
          <t>&lt;[[DEVDeals] - [Associated TC Deal (Seq: 1)] - [TC Property Current Stage (Seq: 1)] Debt Coverage Ratio Year 15 - Send]&gt;</t>
        </r>
      </text>
    </comment>
    <comment ref="I377" authorId="0" shapeId="0" xr:uid="{00000000-0006-0000-2100-0000ED030000}">
      <text>
        <r>
          <rPr>
            <b/>
            <sz val="9"/>
            <color indexed="81"/>
            <rFont val="Tahoma"/>
            <family val="2"/>
          </rPr>
          <t>&lt;[[DEVDeals] - [DEV User Defined Fields (Seq: 1)] ProForma Dates - Option Contract - Send]&gt;</t>
        </r>
      </text>
    </comment>
    <comment ref="I378" authorId="0" shapeId="0" xr:uid="{00000000-0006-0000-2100-0000EE030000}">
      <text>
        <r>
          <rPr>
            <b/>
            <sz val="9"/>
            <color indexed="81"/>
            <rFont val="Tahoma"/>
            <family val="2"/>
          </rPr>
          <t>&lt;[[DEVDeals] - [DEV User Defined Fields (Seq: 1)] ProForma Dates - Site Acquisition - Send]&gt;</t>
        </r>
      </text>
    </comment>
    <comment ref="I379" authorId="0" shapeId="0" xr:uid="{00000000-0006-0000-2100-0000EF030000}">
      <text>
        <r>
          <rPr>
            <b/>
            <sz val="9"/>
            <color indexed="81"/>
            <rFont val="Tahoma"/>
            <family val="2"/>
          </rPr>
          <t>&lt;[[DEVDeals] - [DEV User Defined Fields (Seq: 1)] ProForma Dates - Zoning Approval - Send]&gt;</t>
        </r>
      </text>
    </comment>
    <comment ref="I380" authorId="0" shapeId="0" xr:uid="{00000000-0006-0000-2100-0000F0030000}">
      <text>
        <r>
          <rPr>
            <b/>
            <sz val="9"/>
            <color indexed="81"/>
            <rFont val="Tahoma"/>
            <family val="2"/>
          </rPr>
          <t>&lt;[[DEVDeals] - [DEV User Defined Fields (Seq: 1)] ProForma Dates - Site Analysis - Send]&gt;</t>
        </r>
      </text>
    </comment>
    <comment ref="I381" authorId="0" shapeId="0" xr:uid="{00000000-0006-0000-2100-0000F1030000}">
      <text>
        <r>
          <rPr>
            <b/>
            <sz val="9"/>
            <color indexed="81"/>
            <rFont val="Tahoma"/>
            <family val="2"/>
          </rPr>
          <t>&lt;[[DEVDeals] - [DEV User Defined Fields (Seq: 1)] ProForma Dates - Constr Loan Commitment - Send]&gt;</t>
        </r>
      </text>
    </comment>
    <comment ref="I382" authorId="0" shapeId="0" xr:uid="{00000000-0006-0000-2100-0000F2030000}">
      <text>
        <r>
          <rPr>
            <b/>
            <sz val="9"/>
            <color indexed="81"/>
            <rFont val="Tahoma"/>
            <family val="2"/>
          </rPr>
          <t>&lt;[[DEVDeals] - [DEV User Defined Fields (Seq: 1)] ProForma Dates - Perm Loan Commitment - Send]&gt;</t>
        </r>
      </text>
    </comment>
    <comment ref="I383" authorId="0" shapeId="0" xr:uid="{00000000-0006-0000-2100-0000F3030000}">
      <text>
        <r>
          <rPr>
            <b/>
            <sz val="9"/>
            <color indexed="81"/>
            <rFont val="Tahoma"/>
            <family val="2"/>
          </rPr>
          <t>&lt;[[DEVDeals] - [DEV User Defined Fields (Seq: 1)] ProForma Dates - Other Sources Committed - Send]&gt;</t>
        </r>
      </text>
    </comment>
    <comment ref="I384" authorId="0" shapeId="0" xr:uid="{00000000-0006-0000-2100-0000F4030000}">
      <text>
        <r>
          <rPr>
            <b/>
            <sz val="9"/>
            <color indexed="81"/>
            <rFont val="Tahoma"/>
            <family val="2"/>
          </rPr>
          <t>&lt;[[DEVDeals] - [DEV User Defined Fields (Seq: 1)] ProForma Dates - 50 Percent - Send]&gt;</t>
        </r>
      </text>
    </comment>
    <comment ref="I385" authorId="0" shapeId="0" xr:uid="{00000000-0006-0000-2100-0000F5030000}">
      <text>
        <r>
          <rPr>
            <b/>
            <sz val="9"/>
            <color indexed="81"/>
            <rFont val="Tahoma"/>
            <family val="2"/>
          </rPr>
          <t>&lt;[[DEVDeals] - [DEV User Defined Fields (Seq: 1)] ProForma Dates - 90 Percent - Send]&gt;</t>
        </r>
      </text>
    </comment>
    <comment ref="I386" authorId="0" shapeId="0" xr:uid="{00000000-0006-0000-2100-0000F6030000}">
      <text>
        <r>
          <rPr>
            <b/>
            <sz val="9"/>
            <color indexed="81"/>
            <rFont val="Tahoma"/>
            <family val="2"/>
          </rPr>
          <t>&lt;[[DEVDeals] - [DEV User Defined Fields (Seq: 1)] ProForma Dates - 100 Percent - Send]&gt;</t>
        </r>
      </text>
    </comment>
    <comment ref="I387" authorId="0" shapeId="0" xr:uid="{00000000-0006-0000-2100-0000F7030000}">
      <text>
        <r>
          <rPr>
            <b/>
            <sz val="9"/>
            <color indexed="81"/>
            <rFont val="Tahoma"/>
            <family val="2"/>
          </rPr>
          <t>&lt;[[DEVDeals] - [DEV User Defined Fields (Seq: 1)] ProForma Dates - Construction Loan Closing - Send]&gt;</t>
        </r>
      </text>
    </comment>
    <comment ref="I388" authorId="0" shapeId="0" xr:uid="{00000000-0006-0000-2100-0000F8030000}">
      <text>
        <r>
          <rPr>
            <b/>
            <sz val="9"/>
            <color indexed="81"/>
            <rFont val="Tahoma"/>
            <family val="2"/>
          </rPr>
          <t>&lt;[[DEVDeals] - [DEV User Defined Fields (Seq: 1)] ProForma Dates - Construction Start - Send]&gt;</t>
        </r>
      </text>
    </comment>
    <comment ref="I389" authorId="0" shapeId="0" xr:uid="{00000000-0006-0000-2100-0000F9030000}">
      <text>
        <r>
          <rPr>
            <b/>
            <sz val="9"/>
            <color indexed="81"/>
            <rFont val="Tahoma"/>
            <family val="2"/>
          </rPr>
          <t>&lt;[[DEVDeals] - [DEV User Defined Fields (Seq: 1)] ProForma Dates - Compl of Construction - Send]&gt;</t>
        </r>
      </text>
    </comment>
    <comment ref="I390" authorId="0" shapeId="0" xr:uid="{00000000-0006-0000-2100-0000FA030000}">
      <text>
        <r>
          <rPr>
            <b/>
            <sz val="9"/>
            <color indexed="81"/>
            <rFont val="Tahoma"/>
            <family val="2"/>
          </rPr>
          <t>&lt;[[DEVDeals] - [DEV User Defined Fields (Seq: 1)] ProForma Dates - Initial Lease Up - Send]&gt;</t>
        </r>
      </text>
    </comment>
    <comment ref="I391" authorId="0" shapeId="0" xr:uid="{00000000-0006-0000-2100-0000FB030000}">
      <text>
        <r>
          <rPr>
            <b/>
            <sz val="9"/>
            <color indexed="81"/>
            <rFont val="Tahoma"/>
            <family val="2"/>
          </rPr>
          <t>&lt;[[DEVDeals] - [DEV User Defined Fields (Seq: 1)] ProForma Dates - Sustained Occupancy (95) - Send]&gt;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Mitchell Eden</author>
    <author>Cindy Wardwell</author>
  </authors>
  <commentList>
    <comment ref="B34" authorId="0" shapeId="0" xr:uid="{67069823-7B31-4905-9336-17B8B1E8BFA0}">
      <text>
        <r>
          <rPr>
            <sz val="9"/>
            <color indexed="81"/>
            <rFont val="Tahoma"/>
            <family val="2"/>
          </rPr>
          <t xml:space="preserve">Enter the number of HOME/HTF units below. To the extent possible, these units should be distributed proportionately. 
Example: If project has: 
5 - 1BR
10 - 2BR 
5 - 3BR
and requires 4 HOME/HTF units, then distribution of HOME/HTF units should be: 
1 - 1BR 
2 - 2BR
1 - 3BR
</t>
        </r>
      </text>
    </comment>
    <comment ref="E34" authorId="0" shapeId="0" xr:uid="{323B2BD2-09A2-4FC4-A229-82A2679EBB37}">
      <text>
        <r>
          <rPr>
            <sz val="9"/>
            <color indexed="81"/>
            <rFont val="Tahoma"/>
            <family val="2"/>
          </rPr>
          <t xml:space="preserve">Get the square footages from the "Building Info/Unit Sq.Ft. Tabulations" sheet submitted to construction services with the 50% plans. To ensure not oversubsidizing, make sure to use the smallest unit of a given bedroom size in calculation. 
Example: If project has the following 1BR units: 
101 - 450 sq.ft. 
102 - 465 sq. ft. 
103 - 470 sq. ft.
use 450 sq.ft.
</t>
        </r>
      </text>
    </comment>
    <comment ref="D79" authorId="1" shapeId="0" xr:uid="{2B5CFEAD-2DE0-4B9D-A70F-ABD8EA7D8926}">
      <text>
        <r>
          <rPr>
            <b/>
            <sz val="9"/>
            <color indexed="81"/>
            <rFont val="Tahoma"/>
            <family val="2"/>
          </rPr>
          <t>The factor affiliated with the Section 234 HOME limits is 270%, but those limits were created for Mortgages.  The HOME program limits the factor to 240%</t>
        </r>
        <r>
          <rPr>
            <sz val="9"/>
            <color indexed="81"/>
            <rFont val="Tahoma"/>
            <family val="2"/>
          </rPr>
          <t xml:space="preserve">
</t>
        </r>
      </text>
    </comment>
  </commentList>
</comments>
</file>

<file path=xl/sharedStrings.xml><?xml version="1.0" encoding="utf-8"?>
<sst xmlns="http://schemas.openxmlformats.org/spreadsheetml/2006/main" count="3217" uniqueCount="1888">
  <si>
    <t>MINIMUM SET-ASIDE</t>
  </si>
  <si>
    <t>How many buildings will be acquired for the project?</t>
  </si>
  <si>
    <t>If yes, please describe how and why:</t>
  </si>
  <si>
    <t>Date</t>
  </si>
  <si>
    <t>TENANT POPULATION</t>
  </si>
  <si>
    <t xml:space="preserve">  Management Fees</t>
  </si>
  <si>
    <t xml:space="preserve">  Marketing Expenses</t>
  </si>
  <si>
    <t xml:space="preserve">  Legal Expenses</t>
  </si>
  <si>
    <t xml:space="preserve">  Auditing Expenses</t>
  </si>
  <si>
    <t xml:space="preserve">  Other Administrative Expenses</t>
  </si>
  <si>
    <t xml:space="preserve">  Janitorial Payroll</t>
  </si>
  <si>
    <t xml:space="preserve">  Janitorial Supplies and Equipment</t>
  </si>
  <si>
    <t xml:space="preserve">  Janitorial Contractual Services</t>
  </si>
  <si>
    <t xml:space="preserve">  Fuel and Gas</t>
  </si>
  <si>
    <t xml:space="preserve">  Electricity</t>
  </si>
  <si>
    <t xml:space="preserve">  Water and Sewer</t>
  </si>
  <si>
    <t xml:space="preserve">  Garbage and Trash Removal</t>
  </si>
  <si>
    <t xml:space="preserve">  Vehicle and Equipment Expenses</t>
  </si>
  <si>
    <t xml:space="preserve">  Other Operating Expenses</t>
  </si>
  <si>
    <t xml:space="preserve">  Grounds Maintenance Payroll</t>
  </si>
  <si>
    <t xml:space="preserve">  Grounds Tools and Supplies</t>
  </si>
  <si>
    <t xml:space="preserve">  Grounds Contractual Services</t>
  </si>
  <si>
    <t xml:space="preserve">  Miscellaneous Ground Maintenance</t>
  </si>
  <si>
    <t xml:space="preserve">  Building Maintenance Payroll</t>
  </si>
  <si>
    <t>Total State Historic Tax Credit</t>
  </si>
  <si>
    <t xml:space="preserve">  Building Tools and Supplies</t>
  </si>
  <si>
    <t xml:space="preserve">  Building Contractual Services</t>
  </si>
  <si>
    <t xml:space="preserve">  Building Systems Maintenance</t>
  </si>
  <si>
    <t xml:space="preserve">  Miscellaneous Building Maintenance</t>
  </si>
  <si>
    <t xml:space="preserve">  Property Taxes</t>
  </si>
  <si>
    <t xml:space="preserve">  Property and Liability Insurance</t>
  </si>
  <si>
    <t>(If Existing Project)</t>
  </si>
  <si>
    <t xml:space="preserve">  Management Charges</t>
  </si>
  <si>
    <t>Annual Budget</t>
  </si>
  <si>
    <t>TOTAL ADMINISTRATIVE EXPENSES</t>
  </si>
  <si>
    <t>TOTAL OPERATING EXPENSES</t>
  </si>
  <si>
    <t>TOTAL MAINTENANCE EXPENSES</t>
  </si>
  <si>
    <t>General Expenses:</t>
  </si>
  <si>
    <t>TOTAL GENERAL EXPENSES</t>
  </si>
  <si>
    <t>TOTAL BUDGETED EXPENSE</t>
  </si>
  <si>
    <t>MULTIFAMILY HOUSING</t>
  </si>
  <si>
    <t xml:space="preserve"> </t>
  </si>
  <si>
    <t>1BR</t>
  </si>
  <si>
    <t>2BR</t>
  </si>
  <si>
    <t>3BR</t>
  </si>
  <si>
    <t>Other Income:</t>
  </si>
  <si>
    <t>TOTAL SITE COST</t>
  </si>
  <si>
    <t>Site Costs:</t>
  </si>
  <si>
    <t>Structures:</t>
  </si>
  <si>
    <t>TOTAL STRUCTURE</t>
  </si>
  <si>
    <t>TOTAL GEN REQMTS</t>
  </si>
  <si>
    <t>General Requirements:</t>
  </si>
  <si>
    <t>TOTAL BOND PREMIUM</t>
  </si>
  <si>
    <t>TOTAL CONSTRUCTION:</t>
  </si>
  <si>
    <t>TOTAL SOFT COSTS:</t>
  </si>
  <si>
    <t>SOFT COSTS:</t>
  </si>
  <si>
    <t>FINANCING FEES:</t>
  </si>
  <si>
    <t>TOTAL FINANCING FEES</t>
  </si>
  <si>
    <t>MISCELLANEOUS COSTS &amp; EXPENSES:</t>
  </si>
  <si>
    <t>TOTAL ACQUISITION</t>
  </si>
  <si>
    <t>ACQUISITION:</t>
  </si>
  <si>
    <t>RESERVES</t>
  </si>
  <si>
    <t>TOTAL RESERVES:</t>
  </si>
  <si>
    <t>SYNDICATION:</t>
  </si>
  <si>
    <t>TOTAL SYNDICATION</t>
  </si>
  <si>
    <t>DEVELOPER FEE:</t>
  </si>
  <si>
    <t xml:space="preserve">   Source:</t>
  </si>
  <si>
    <t>4BR</t>
  </si>
  <si>
    <t>TERM (YRS)</t>
  </si>
  <si>
    <t>Total Commercial Expense</t>
  </si>
  <si>
    <t>Maintenance Expenses</t>
  </si>
  <si>
    <t>Administrative Expenses</t>
  </si>
  <si>
    <t>Operating Expenses</t>
  </si>
  <si>
    <t xml:space="preserve"> Sub-total Grounds Expenses</t>
  </si>
  <si>
    <t xml:space="preserve"> Sub-total Building Expenses</t>
  </si>
  <si>
    <t xml:space="preserve">   F, F, &amp; E</t>
  </si>
  <si>
    <t xml:space="preserve">   Operating Deficit Escrow</t>
  </si>
  <si>
    <t xml:space="preserve">   Tax &amp; Insurance Escrow</t>
  </si>
  <si>
    <t xml:space="preserve">   Replacement Reserve</t>
  </si>
  <si>
    <t>Federal Historic Tax Credit</t>
  </si>
  <si>
    <t>Section 42 requires a MINIMUM SET-ASIDE ELECTION.  Select only one of the following</t>
  </si>
  <si>
    <t>Type of Request:</t>
  </si>
  <si>
    <t>Other:</t>
  </si>
  <si>
    <t>Utility</t>
  </si>
  <si>
    <t>Heating</t>
  </si>
  <si>
    <t>Hot Water</t>
  </si>
  <si>
    <t>Cooking</t>
  </si>
  <si>
    <t>Lighting</t>
  </si>
  <si>
    <t>Water</t>
  </si>
  <si>
    <t>Sewer</t>
  </si>
  <si>
    <t>Trash</t>
  </si>
  <si>
    <t xml:space="preserve">   Other</t>
  </si>
  <si>
    <t>Gross Rental Income</t>
  </si>
  <si>
    <t>Project Costs and Eligible Basis</t>
  </si>
  <si>
    <t>Total Cost</t>
  </si>
  <si>
    <t xml:space="preserve">   Main Buildings</t>
  </si>
  <si>
    <t xml:space="preserve">   Accessory Structures</t>
  </si>
  <si>
    <t xml:space="preserve">   Supervision</t>
  </si>
  <si>
    <t xml:space="preserve">   Field Engineering</t>
  </si>
  <si>
    <t xml:space="preserve">   Field Office</t>
  </si>
  <si>
    <t xml:space="preserve">   Temp. Facilities</t>
  </si>
  <si>
    <t xml:space="preserve">   Temp Utilities</t>
  </si>
  <si>
    <t xml:space="preserve">   Permits</t>
  </si>
  <si>
    <t>Eligible Basis Calculations</t>
  </si>
  <si>
    <t>Depreciable</t>
  </si>
  <si>
    <t>Amortizable</t>
  </si>
  <si>
    <t>Non-Amort</t>
  </si>
  <si>
    <t>Acq Credit</t>
  </si>
  <si>
    <t>Const/Reh</t>
  </si>
  <si>
    <t xml:space="preserve">   Survey &amp; Engineering</t>
  </si>
  <si>
    <t xml:space="preserve">   Architect/Design &amp; Inspec</t>
  </si>
  <si>
    <t xml:space="preserve">   Project Legal</t>
  </si>
  <si>
    <t xml:space="preserve">   Title &amp; Recording</t>
  </si>
  <si>
    <t xml:space="preserve">   Project Audit/Accounting</t>
  </si>
  <si>
    <t xml:space="preserve">   Const Loan Orig. Fee </t>
  </si>
  <si>
    <t xml:space="preserve">   Market Study </t>
  </si>
  <si>
    <t xml:space="preserve">   Property Appraisal</t>
  </si>
  <si>
    <t xml:space="preserve">   Environmental Study</t>
  </si>
  <si>
    <t>Acquisition</t>
  </si>
  <si>
    <t xml:space="preserve">   Structure</t>
  </si>
  <si>
    <t xml:space="preserve">   Land</t>
  </si>
  <si>
    <t xml:space="preserve">   Organizational (Partnership)</t>
  </si>
  <si>
    <t xml:space="preserve">   Bridge Loan Fees &amp; Expenses</t>
  </si>
  <si>
    <t xml:space="preserve">   Tax Opinion</t>
  </si>
  <si>
    <t xml:space="preserve">   Accounting</t>
  </si>
  <si>
    <t xml:space="preserve">   Legal</t>
  </si>
  <si>
    <t xml:space="preserve">   Consultant Fees</t>
  </si>
  <si>
    <t xml:space="preserve">   Developer Overhead</t>
  </si>
  <si>
    <t xml:space="preserve">   Developer Profit</t>
  </si>
  <si>
    <t>Credit</t>
  </si>
  <si>
    <t>Eligible Basis</t>
  </si>
  <si>
    <t>Const/Rehab</t>
  </si>
  <si>
    <t>Eligible Basis before adjustments</t>
  </si>
  <si>
    <t xml:space="preserve">   used to finance qualifying </t>
  </si>
  <si>
    <t xml:space="preserve">   development costs</t>
  </si>
  <si>
    <t xml:space="preserve">   non-recourse debt</t>
  </si>
  <si>
    <t xml:space="preserve">   higher quality OR nonqualifying </t>
  </si>
  <si>
    <t xml:space="preserve">   excess cost of higher quality units</t>
  </si>
  <si>
    <t xml:space="preserve">   (Residential Portion only)</t>
  </si>
  <si>
    <t xml:space="preserve">   homeless support services</t>
  </si>
  <si>
    <t>multiply by</t>
  </si>
  <si>
    <t>Adjusted Eligible Basis</t>
  </si>
  <si>
    <t xml:space="preserve">If improvements are eligible for 130% </t>
  </si>
  <si>
    <t xml:space="preserve">high cost or difficult development area </t>
  </si>
  <si>
    <t>adjustment, AND developer wishes to</t>
  </si>
  <si>
    <t>request such adjustment, insert value.</t>
  </si>
  <si>
    <t>Total Eligible Basis</t>
  </si>
  <si>
    <t>Multiply by applicable fraction</t>
  </si>
  <si>
    <t>Qualified Basis</t>
  </si>
  <si>
    <t>Annual LIH Tax Credits</t>
  </si>
  <si>
    <t>Total LIH Tax Credits - 10 years</t>
  </si>
  <si>
    <t>Multiply by NET equity</t>
  </si>
  <si>
    <t>per $1 of Credit</t>
  </si>
  <si>
    <t>MONTHLY</t>
  </si>
  <si>
    <t>SPECIAL TERMS/CONDITIONS</t>
  </si>
  <si>
    <t>LENDER</t>
  </si>
  <si>
    <t>AMOUNT</t>
  </si>
  <si>
    <t>RATE</t>
  </si>
  <si>
    <t>PAYMENT</t>
  </si>
  <si>
    <t>(deferrals, balloons, adjustable rate, etc.)</t>
  </si>
  <si>
    <t>CONSTRUCTION SOURCES OF FUNDS</t>
  </si>
  <si>
    <t>Multiply by 12 months</t>
  </si>
  <si>
    <t>X 12</t>
  </si>
  <si>
    <t>TOTAL ANNUAL DEBT SERVICE</t>
  </si>
  <si>
    <t>Total Development Cost</t>
  </si>
  <si>
    <t>Service Provider</t>
  </si>
  <si>
    <t>Development Consultant</t>
  </si>
  <si>
    <t>Management Agent</t>
  </si>
  <si>
    <t>Municipality</t>
  </si>
  <si>
    <t>Age of Building (approx.)</t>
  </si>
  <si>
    <t>Years</t>
  </si>
  <si>
    <t>All Benefit Pledges will be set forth in a document to be recorded in the local Registry of Deeds.</t>
  </si>
  <si>
    <t>Email Address</t>
  </si>
  <si>
    <t>If yes, please describe the proposed relocation assistance to be provided (note: MaineHousing or the Federal Relocation Policy will need to be followed):</t>
  </si>
  <si>
    <t xml:space="preserve">  Resident Service Coordinator</t>
  </si>
  <si>
    <t xml:space="preserve">  Other General Expenses</t>
  </si>
  <si>
    <t>Replacement Reserve</t>
  </si>
  <si>
    <t>Please explain Unusual site condition</t>
  </si>
  <si>
    <t>ANNUAL OPERATING BUDGET</t>
  </si>
  <si>
    <t>Projected</t>
  </si>
  <si>
    <t>Sources of Funding</t>
  </si>
  <si>
    <t>APPLICANT INFORMATION</t>
  </si>
  <si>
    <t>Name of Applicant</t>
  </si>
  <si>
    <t>Taxpayer ID Number or Social Security Number</t>
  </si>
  <si>
    <t>Contact Person &amp; Title</t>
  </si>
  <si>
    <t>Mailing Address</t>
  </si>
  <si>
    <t>Telephone Number</t>
  </si>
  <si>
    <t>FAX Number</t>
  </si>
  <si>
    <t>Form/Type of Ownership</t>
  </si>
  <si>
    <t>Position</t>
  </si>
  <si>
    <t>% Interest</t>
  </si>
  <si>
    <t>Address</t>
  </si>
  <si>
    <t>Identity of Interest:</t>
  </si>
  <si>
    <t>[explain relationship between partners or principals in the ownership entity, any</t>
  </si>
  <si>
    <t>relationship between the owner and seller, the owner and contractor, the owner</t>
  </si>
  <si>
    <t>and management company, etc.]</t>
  </si>
  <si>
    <t>Development Team (please complete where applicable)</t>
  </si>
  <si>
    <t>Name</t>
  </si>
  <si>
    <t>Telephone</t>
  </si>
  <si>
    <t>Architect</t>
  </si>
  <si>
    <t>Attorney</t>
  </si>
  <si>
    <t>Accountant</t>
  </si>
  <si>
    <t>Tax Professional</t>
  </si>
  <si>
    <t>General Contractor</t>
  </si>
  <si>
    <t>Construction Lender</t>
  </si>
  <si>
    <t>PROJECT/BUILDING INFORMATION</t>
  </si>
  <si>
    <t>Name of Project</t>
  </si>
  <si>
    <t>Chief Elected Official/Title</t>
  </si>
  <si>
    <t>Nature of Project</t>
  </si>
  <si>
    <t>Structure Type</t>
  </si>
  <si>
    <t>Number of Stories</t>
  </si>
  <si>
    <t>Does this project involve any relocation of tenants, whether temporary or permanent?</t>
  </si>
  <si>
    <t>Site Control:</t>
  </si>
  <si>
    <t>Date of Purchase</t>
  </si>
  <si>
    <t>Email</t>
  </si>
  <si>
    <t>Purchase Price</t>
  </si>
  <si>
    <t>Is the building owner-occupied?</t>
  </si>
  <si>
    <t>Are there any restrictive convenants, easements or conditions attached to the property?</t>
  </si>
  <si>
    <t xml:space="preserve">   If yes, list and attach documents (if available)</t>
  </si>
  <si>
    <t>Project Developer</t>
  </si>
  <si>
    <t>Rent</t>
  </si>
  <si>
    <t>Total #</t>
  </si>
  <si>
    <t>Gross Res</t>
  </si>
  <si>
    <t>Gross L.I.</t>
  </si>
  <si>
    <t>Res Units</t>
  </si>
  <si>
    <t>L.I Units</t>
  </si>
  <si>
    <t>Other</t>
  </si>
  <si>
    <t>Notes:</t>
  </si>
  <si>
    <t xml:space="preserve">  Relocation</t>
  </si>
  <si>
    <t xml:space="preserve">   Working Capital</t>
  </si>
  <si>
    <t>CONSTRUCTION CONTINGENCY</t>
  </si>
  <si>
    <t>TOTAL MISCELLANEOUS</t>
  </si>
  <si>
    <t>TOTAL DEVELOPER FEE</t>
  </si>
  <si>
    <t>OTHER SOFT COSTS:</t>
  </si>
  <si>
    <t>TOTAL OTHER SOFT COSTS:</t>
  </si>
  <si>
    <t xml:space="preserve">   Legal associated w/ acquisition</t>
  </si>
  <si>
    <t xml:space="preserve">   Existing Reserve Account Balances</t>
  </si>
  <si>
    <r>
      <rPr>
        <b/>
        <sz val="8"/>
        <rFont val="Arial"/>
        <family val="2"/>
      </rPr>
      <t>LESS:</t>
    </r>
    <r>
      <rPr>
        <sz val="8"/>
        <rFont val="Arial"/>
        <family val="2"/>
      </rPr>
      <t xml:space="preserve"> portion of Federal grant </t>
    </r>
  </si>
  <si>
    <r>
      <rPr>
        <b/>
        <sz val="8"/>
        <rFont val="Arial"/>
        <family val="2"/>
      </rPr>
      <t>LESS:</t>
    </r>
    <r>
      <rPr>
        <sz val="8"/>
        <rFont val="Arial"/>
        <family val="2"/>
      </rPr>
      <t xml:space="preserve"> amount of nonqualified </t>
    </r>
  </si>
  <si>
    <r>
      <rPr>
        <b/>
        <sz val="8"/>
        <rFont val="Arial"/>
        <family val="2"/>
      </rPr>
      <t>LESS:</t>
    </r>
    <r>
      <rPr>
        <sz val="8"/>
        <rFont val="Arial"/>
        <family val="2"/>
      </rPr>
      <t xml:space="preserve"> either nonqualifying units of</t>
    </r>
  </si>
  <si>
    <r>
      <rPr>
        <b/>
        <sz val="8"/>
        <rFont val="Arial"/>
        <family val="2"/>
      </rPr>
      <t>LESS:</t>
    </r>
    <r>
      <rPr>
        <sz val="8"/>
        <rFont val="Arial"/>
        <family val="2"/>
      </rPr>
      <t xml:space="preserve"> Historic Tax Credit</t>
    </r>
  </si>
  <si>
    <r>
      <rPr>
        <b/>
        <sz val="8"/>
        <rFont val="Arial"/>
        <family val="2"/>
      </rPr>
      <t>PLUS:</t>
    </r>
    <r>
      <rPr>
        <sz val="8"/>
        <rFont val="Arial"/>
        <family val="2"/>
      </rPr>
      <t xml:space="preserve"> portion of basis for </t>
    </r>
  </si>
  <si>
    <t xml:space="preserve">Less: </t>
  </si>
  <si>
    <t>Historic Eligible Basis</t>
  </si>
  <si>
    <t>NON-HTC ELIGIBLE COSTS</t>
  </si>
  <si>
    <t>TOTAL NON-HTC ELIGIBLE COSTS</t>
  </si>
  <si>
    <t>HTC Eligible ?</t>
  </si>
  <si>
    <t>Total Federal HTC</t>
  </si>
  <si>
    <t>Multiply by NET equity per $1 of Credit</t>
  </si>
  <si>
    <t>TOTAL HTC EQUITY</t>
  </si>
  <si>
    <t>Historic Tax Credits (HTC)</t>
  </si>
  <si>
    <t>TOTAL LIHTC EQUITY</t>
  </si>
  <si>
    <t>Equity Investment</t>
  </si>
  <si>
    <t>TOTAL  EQUITY INVESTMENT</t>
  </si>
  <si>
    <t>at the following web link (left click):</t>
  </si>
  <si>
    <t>Applicable Fraction</t>
  </si>
  <si>
    <t>Multiply by est'd Tax Credit Percentage</t>
  </si>
  <si>
    <t>Operating Reserve Balance</t>
  </si>
  <si>
    <t>Principal Balance(Other)</t>
  </si>
  <si>
    <t>Principal Balance(RLP)</t>
  </si>
  <si>
    <t>Debt Coverage Ratio(RLP)</t>
  </si>
  <si>
    <t>Cash Flow per Unit</t>
  </si>
  <si>
    <t>Cash Flow</t>
  </si>
  <si>
    <t>Less Other Repay</t>
  </si>
  <si>
    <t>Less RLP Repay</t>
  </si>
  <si>
    <t>Net Operating Income</t>
  </si>
  <si>
    <t>Less Operating Expense</t>
  </si>
  <si>
    <t>Effective Gross Income</t>
  </si>
  <si>
    <t>PROFORMA OPERATING INCOME AND EXPENSE STATEMENT, continued</t>
  </si>
  <si>
    <t>Total Cash Flow</t>
  </si>
  <si>
    <t>Months</t>
  </si>
  <si>
    <t>PROFORMA OPERATING INCOME AND EXPENSE STATEMENT</t>
  </si>
  <si>
    <t>Breakeven Occupancy</t>
  </si>
  <si>
    <t>Breakeven Rent</t>
  </si>
  <si>
    <t>Debt Service</t>
  </si>
  <si>
    <t>Gross Revenues</t>
  </si>
  <si>
    <t>Operating Expense</t>
  </si>
  <si>
    <t>Annual</t>
  </si>
  <si>
    <t>Total</t>
  </si>
  <si>
    <t>OCCUPANCY</t>
  </si>
  <si>
    <t>RENT SENSITIVITY</t>
  </si>
  <si>
    <t xml:space="preserve">BREAKEVEN ANALYSIS: </t>
  </si>
  <si>
    <t>Balance</t>
  </si>
  <si>
    <t>Other DS</t>
  </si>
  <si>
    <t>$ Avail for D/S</t>
  </si>
  <si>
    <t>Commercial Expenses (if applicable)</t>
  </si>
  <si>
    <t>DSC</t>
  </si>
  <si>
    <t>Stabilized NOI</t>
  </si>
  <si>
    <t>Replacement Reserve Funding</t>
  </si>
  <si>
    <t>Annual Operating Expense</t>
  </si>
  <si>
    <t xml:space="preserve">  General Expenses</t>
  </si>
  <si>
    <t xml:space="preserve">  Tenant Service Expenses</t>
  </si>
  <si>
    <t xml:space="preserve">  Maintenance Expenses</t>
  </si>
  <si>
    <t>Vacancy Rate</t>
  </si>
  <si>
    <t>Subtotals</t>
  </si>
  <si>
    <t>Maintenance Expenses:</t>
  </si>
  <si>
    <t xml:space="preserve">  Operating Expenses</t>
  </si>
  <si>
    <t>Operating Expenses:</t>
  </si>
  <si>
    <t>Total Low Income Units</t>
  </si>
  <si>
    <t xml:space="preserve">  Administrative Expenses</t>
  </si>
  <si>
    <t>Points</t>
  </si>
  <si>
    <t>Total 3+ BR LI</t>
  </si>
  <si>
    <t>Total 2+ BR LI</t>
  </si>
  <si>
    <t>Administrative Expenses:</t>
  </si>
  <si>
    <t>Per Unit</t>
  </si>
  <si>
    <t>Expense</t>
  </si>
  <si>
    <t>Allow.</t>
  </si>
  <si>
    <t>Applicant</t>
  </si>
  <si>
    <t># Units</t>
  </si>
  <si>
    <t>AMI</t>
  </si>
  <si>
    <t>Type</t>
  </si>
  <si>
    <t>Monthly</t>
  </si>
  <si>
    <t xml:space="preserve">Market </t>
  </si>
  <si>
    <t>Gross</t>
  </si>
  <si>
    <t>Rents from</t>
  </si>
  <si>
    <t>OPERATING EXPENSES</t>
  </si>
  <si>
    <t>PROPOSED RENT SCHEDULE</t>
  </si>
  <si>
    <t>Capitalization Gap</t>
  </si>
  <si>
    <t>Net Syndication</t>
  </si>
  <si>
    <t>Unsecured</t>
  </si>
  <si>
    <t>Grant</t>
  </si>
  <si>
    <t>Third</t>
  </si>
  <si>
    <t>Second</t>
  </si>
  <si>
    <t>Supportable Mort.: Unrestricted</t>
  </si>
  <si>
    <t>Loan to Value Ratio</t>
  </si>
  <si>
    <t>Appraised Market Value</t>
  </si>
  <si>
    <t>First</t>
  </si>
  <si>
    <t>Yr. 16-30</t>
  </si>
  <si>
    <t>Yr. 6-15</t>
  </si>
  <si>
    <t>Yr. 1-5</t>
  </si>
  <si>
    <t>Annual D/S</t>
  </si>
  <si>
    <t xml:space="preserve">  Lien</t>
  </si>
  <si>
    <t xml:space="preserve">  Rate</t>
  </si>
  <si>
    <t>Amount</t>
  </si>
  <si>
    <t>Source</t>
  </si>
  <si>
    <t>PROJECT FINANCING</t>
  </si>
  <si>
    <t>Ending Cash</t>
  </si>
  <si>
    <t>TOTAL USES OF FUNDS</t>
  </si>
  <si>
    <t>SUBTOTAL OTHER ITEMS</t>
  </si>
  <si>
    <t>Other Syndication Costs</t>
  </si>
  <si>
    <t>Repay Construction Loan</t>
  </si>
  <si>
    <t>Repay GP Bridge Loan</t>
  </si>
  <si>
    <t>TOTAL DEV. COSTS</t>
  </si>
  <si>
    <t>Reserves</t>
  </si>
  <si>
    <t xml:space="preserve">Dev Fee </t>
  </si>
  <si>
    <t>Miscellaneous</t>
  </si>
  <si>
    <t>Financing Costs</t>
  </si>
  <si>
    <t>Soft Costs</t>
  </si>
  <si>
    <t>Construction</t>
  </si>
  <si>
    <t>Uses</t>
  </si>
  <si>
    <t>TOTAL SOURCES</t>
  </si>
  <si>
    <t>Conventional First Mortgage</t>
  </si>
  <si>
    <t>GP Bridge Loan</t>
  </si>
  <si>
    <t>Construction Loan</t>
  </si>
  <si>
    <t>Beginning Cash</t>
  </si>
  <si>
    <t>Sources</t>
  </si>
  <si>
    <t>PLC</t>
  </si>
  <si>
    <t>During Construction</t>
  </si>
  <si>
    <t>CLC</t>
  </si>
  <si>
    <t>FLOW OF FUNDS</t>
  </si>
  <si>
    <t>Construction Cost/Sq ft.</t>
  </si>
  <si>
    <t>Gross Square Footage</t>
  </si>
  <si>
    <t>Total Equity:</t>
  </si>
  <si>
    <t>Equity Raise</t>
  </si>
  <si>
    <t>Synd. %</t>
  </si>
  <si>
    <t>Equity yield</t>
  </si>
  <si>
    <t>Commercial</t>
  </si>
  <si>
    <t>PRO FORMA DEVELOPMENT BUDGET</t>
  </si>
  <si>
    <t>Market Value/Unit</t>
  </si>
  <si>
    <t>Vacancy</t>
  </si>
  <si>
    <t># @ Market</t>
  </si>
  <si>
    <t>Debt Coverage Ratio</t>
  </si>
  <si>
    <t xml:space="preserve">   Other Income</t>
  </si>
  <si>
    <t xml:space="preserve">   Operating Expense</t>
  </si>
  <si>
    <t xml:space="preserve">   Rent</t>
  </si>
  <si>
    <t>Yr 1-5</t>
  </si>
  <si>
    <t>Inflation Adjustments</t>
  </si>
  <si>
    <t>Total Units</t>
  </si>
  <si>
    <t>LIHTC Alloc.</t>
  </si>
  <si>
    <t>DEVELOPMENT ASSUMPTIONS</t>
  </si>
  <si>
    <t xml:space="preserve">LOCATION: </t>
  </si>
  <si>
    <t>Date:</t>
  </si>
  <si>
    <t xml:space="preserve">PROJECT NAME: </t>
  </si>
  <si>
    <t>INTERNAL RATE OF RETURN</t>
  </si>
  <si>
    <t>TOTALS</t>
  </si>
  <si>
    <t>Benefits</t>
  </si>
  <si>
    <t>Savings</t>
  </si>
  <si>
    <t>Rate</t>
  </si>
  <si>
    <t>Losses</t>
  </si>
  <si>
    <t>Distribution</t>
  </si>
  <si>
    <t>Cap Contrib</t>
  </si>
  <si>
    <t>Tax</t>
  </si>
  <si>
    <t>Net</t>
  </si>
  <si>
    <t>Cash</t>
  </si>
  <si>
    <t xml:space="preserve">Tax </t>
  </si>
  <si>
    <t>(C + D +G)</t>
  </si>
  <si>
    <t>G</t>
  </si>
  <si>
    <t>F</t>
  </si>
  <si>
    <t>E</t>
  </si>
  <si>
    <t>D</t>
  </si>
  <si>
    <t>C</t>
  </si>
  <si>
    <t>A</t>
  </si>
  <si>
    <t>AFTER TAX BENEFIT ANALYSIS</t>
  </si>
  <si>
    <t>Taxable Income (Loss)</t>
  </si>
  <si>
    <t>Less Amortization</t>
  </si>
  <si>
    <t>Less Depreciation: Persl. Prop</t>
  </si>
  <si>
    <t>Less Depreciation: Real Prop.</t>
  </si>
  <si>
    <t>Less Bridge Loan Interest</t>
  </si>
  <si>
    <t>Less Interest Expense</t>
  </si>
  <si>
    <t xml:space="preserve">Net Operating Income </t>
  </si>
  <si>
    <t>After Tax Cash Flow Analysis</t>
  </si>
  <si>
    <t>Subtotal Fee and Reserves</t>
  </si>
  <si>
    <t>Working Capital =  $1000 per unit, capped @ 50K</t>
  </si>
  <si>
    <t>Developer Profit</t>
  </si>
  <si>
    <t>Developer Overhead</t>
  </si>
  <si>
    <t>Total T&amp; I</t>
  </si>
  <si>
    <t>Consultant Fee</t>
  </si>
  <si>
    <t>First yr insurance</t>
  </si>
  <si>
    <t>Total Syndication Expenses</t>
  </si>
  <si>
    <t>Six months RE Taxes + 2 months Insurance</t>
  </si>
  <si>
    <t>Tax &amp; Insurance Escrow</t>
  </si>
  <si>
    <t>1% of Structures (Construction - Cont - Site + Bldg)</t>
  </si>
  <si>
    <t>Pre-funded Replacements</t>
  </si>
  <si>
    <t>Six months Op Ex &amp; DS</t>
  </si>
  <si>
    <t>Operating Deficit Escrow</t>
  </si>
  <si>
    <t>Subtotal  Acquisition</t>
  </si>
  <si>
    <t>Acquisition: Legal</t>
  </si>
  <si>
    <t>Acquisition: Land</t>
  </si>
  <si>
    <t>Acquisition: Buildings</t>
  </si>
  <si>
    <t>Subtotal  Miscellaneous</t>
  </si>
  <si>
    <t>FF&amp;E</t>
  </si>
  <si>
    <t>Relocation Costs</t>
  </si>
  <si>
    <t>Environmental Study</t>
  </si>
  <si>
    <t>Appraisal</t>
  </si>
  <si>
    <t>Market Survey</t>
  </si>
  <si>
    <t>Subtotal Finance Costs</t>
  </si>
  <si>
    <t>2% of MH Loan</t>
  </si>
  <si>
    <t>Comm = $2000</t>
  </si>
  <si>
    <t>App = $1000</t>
  </si>
  <si>
    <t>Construction Loan Interest</t>
  </si>
  <si>
    <t>Construction Loan Origination Fees</t>
  </si>
  <si>
    <t>Subtotal Soft Costs</t>
  </si>
  <si>
    <t>Construction Period Insurance</t>
  </si>
  <si>
    <t>Construction Period Tax</t>
  </si>
  <si>
    <t>Accounting</t>
  </si>
  <si>
    <t>Title &amp; Recording</t>
  </si>
  <si>
    <t>Legal</t>
  </si>
  <si>
    <t>Architectural &amp; Design</t>
  </si>
  <si>
    <t>Survey &amp; Engineering</t>
  </si>
  <si>
    <t>Building Permits and Fees</t>
  </si>
  <si>
    <t>Subtotal Construction Costs</t>
  </si>
  <si>
    <t>Construction Contingency</t>
  </si>
  <si>
    <t>Bond Premium</t>
  </si>
  <si>
    <t>Builder Profit</t>
  </si>
  <si>
    <t>General Requirements</t>
  </si>
  <si>
    <t xml:space="preserve">Construction </t>
  </si>
  <si>
    <t>Site Improvements</t>
  </si>
  <si>
    <t xml:space="preserve"> (acquis.)</t>
  </si>
  <si>
    <t xml:space="preserve"> (non-acquis.)</t>
  </si>
  <si>
    <t>Non-Amort.</t>
  </si>
  <si>
    <t>Uses Of Funds</t>
  </si>
  <si>
    <t>LIHTC Basis</t>
  </si>
  <si>
    <t>Yield</t>
  </si>
  <si>
    <t>Credit Allocation</t>
  </si>
  <si>
    <t>1 yr. DSC / Occupancy</t>
  </si>
  <si>
    <t>NPV @ 7%</t>
  </si>
  <si>
    <t>Totals</t>
  </si>
  <si>
    <t>8609 or Occupancy</t>
  </si>
  <si>
    <t xml:space="preserve">  </t>
  </si>
  <si>
    <t>50% Construction Completion</t>
  </si>
  <si>
    <t>Triggers</t>
  </si>
  <si>
    <t>Pmt #</t>
  </si>
  <si>
    <t>Estimated</t>
  </si>
  <si>
    <t>Performance</t>
  </si>
  <si>
    <t xml:space="preserve">Capital Contrib. </t>
  </si>
  <si>
    <t>Year</t>
  </si>
  <si>
    <t>Net Syndication Yields</t>
  </si>
  <si>
    <t>Equity Pay-in Schedule</t>
  </si>
  <si>
    <t>LIHTC Cap / Carryover Allocation Amount</t>
  </si>
  <si>
    <t>TOTAL LIHTC</t>
  </si>
  <si>
    <t>Dev. Fee</t>
  </si>
  <si>
    <t>Other Elig. Cost</t>
  </si>
  <si>
    <t>Building Acquisition</t>
  </si>
  <si>
    <t>50% Test</t>
  </si>
  <si>
    <t>LIHTC</t>
  </si>
  <si>
    <t>Credit %</t>
  </si>
  <si>
    <t>Adjustment</t>
  </si>
  <si>
    <t>% Eligible</t>
  </si>
  <si>
    <t>Eligible Expenditures</t>
  </si>
  <si>
    <t>LIHTC EVALUATION</t>
  </si>
  <si>
    <t>Per Unit Credit Cap</t>
  </si>
  <si>
    <t>Yes</t>
  </si>
  <si>
    <t>LIHTC 130% Adjustment</t>
  </si>
  <si>
    <t>No</t>
  </si>
  <si>
    <t>Tax Exempt Financing</t>
  </si>
  <si>
    <t>Partnership Tax Rate</t>
  </si>
  <si>
    <t>Historic TxCr</t>
  </si>
  <si>
    <t>LIHTC 70% Rate:</t>
  </si>
  <si>
    <t>LIHTC 30% Rate:</t>
  </si>
  <si>
    <t>Location:</t>
  </si>
  <si>
    <t>Project Name:</t>
  </si>
  <si>
    <t>Total Match Claimed</t>
  </si>
  <si>
    <t>Total Eligible Match</t>
  </si>
  <si>
    <t>Enterprise</t>
  </si>
  <si>
    <t>AHP</t>
  </si>
  <si>
    <t>Grants:</t>
  </si>
  <si>
    <t>Period in Years</t>
  </si>
  <si>
    <t>Interest</t>
  </si>
  <si>
    <t>Loan</t>
  </si>
  <si>
    <t>Match</t>
  </si>
  <si>
    <t>Eligible</t>
  </si>
  <si>
    <t>MATCH SOURCES</t>
  </si>
  <si>
    <t>Example</t>
  </si>
  <si>
    <t>Our Loan</t>
  </si>
  <si>
    <t>Available</t>
  </si>
  <si>
    <t>Max Match</t>
  </si>
  <si>
    <t>Allowed</t>
  </si>
  <si>
    <t>FedHOME</t>
  </si>
  <si>
    <t>0BR</t>
  </si>
  <si>
    <t>Max</t>
  </si>
  <si>
    <t>Required</t>
  </si>
  <si>
    <t>Project Mix</t>
  </si>
  <si>
    <t>Fed HOME Units</t>
  </si>
  <si>
    <t xml:space="preserve">FedHOME </t>
  </si>
  <si>
    <t>Minimum</t>
  </si>
  <si>
    <t>Per FedHOME Unit</t>
  </si>
  <si>
    <t>High HOME</t>
  </si>
  <si>
    <t>Per Unit TDC</t>
  </si>
  <si>
    <t>Low HOME</t>
  </si>
  <si>
    <t>Match Units</t>
  </si>
  <si>
    <t># of FedHOME units</t>
  </si>
  <si>
    <t># of Units</t>
  </si>
  <si>
    <t>City HOME</t>
  </si>
  <si>
    <t>FedHOME Units</t>
  </si>
  <si>
    <t>MSHA FedHOME</t>
  </si>
  <si>
    <t>FedHOME units required</t>
  </si>
  <si>
    <t>Other Federal Subsidy</t>
  </si>
  <si>
    <t xml:space="preserve">Minimum number of </t>
  </si>
  <si>
    <t>Total HOME Units</t>
  </si>
  <si>
    <t>Multifamily, Deferred Payment BMIR, Principal Only Due at Term</t>
  </si>
  <si>
    <t>Acquisition/Rehab</t>
  </si>
  <si>
    <t>Grants</t>
  </si>
  <si>
    <t>TDC</t>
  </si>
  <si>
    <t>Outstanding</t>
  </si>
  <si>
    <t>Principal</t>
  </si>
  <si>
    <t>Payment</t>
  </si>
  <si>
    <t>Payment No.</t>
  </si>
  <si>
    <t>AmortizationTerm</t>
  </si>
  <si>
    <t>Acquisition: Existing Reserves</t>
  </si>
  <si>
    <t>Working Capital</t>
  </si>
  <si>
    <t xml:space="preserve">   LIHTC Process &amp; Monitoring Fees</t>
  </si>
  <si>
    <t xml:space="preserve">   Earth Works</t>
  </si>
  <si>
    <t xml:space="preserve">   Site Utilities</t>
  </si>
  <si>
    <t xml:space="preserve">   Lawns/Plantings</t>
  </si>
  <si>
    <t xml:space="preserve">   Road/Walks</t>
  </si>
  <si>
    <t xml:space="preserve">   Site Improvement</t>
  </si>
  <si>
    <t xml:space="preserve">   Unusual Site Condition</t>
  </si>
  <si>
    <t xml:space="preserve">   Cleaning/Rubbish</t>
  </si>
  <si>
    <t xml:space="preserve">   Const. Period Taxes </t>
  </si>
  <si>
    <t xml:space="preserve">   Const. Period Insurance</t>
  </si>
  <si>
    <t xml:space="preserve">   Const Loan Interest</t>
  </si>
  <si>
    <t>Include Only Residential</t>
  </si>
  <si>
    <t>Depreciable Costs for:</t>
  </si>
  <si>
    <t>Residential</t>
  </si>
  <si>
    <t>Prior Year's Actual</t>
  </si>
  <si>
    <t>Other Administrative Expenses</t>
  </si>
  <si>
    <t>Total Other Administrative Expenses</t>
  </si>
  <si>
    <t>Other Operating Expenses</t>
  </si>
  <si>
    <t>Total Other Operating Expenses</t>
  </si>
  <si>
    <t>Other General Expenses</t>
  </si>
  <si>
    <t>Total Other General Expenses</t>
  </si>
  <si>
    <t>Miscellaneous Ground Maintenance</t>
  </si>
  <si>
    <t>Total Miscellaneous Ground Maintenance</t>
  </si>
  <si>
    <t>Miscellaneous Building Maintenance</t>
  </si>
  <si>
    <t>Total Miscellaneous Building Maintenance</t>
  </si>
  <si>
    <t>Maximum</t>
  </si>
  <si>
    <t>LIHTC Rent</t>
  </si>
  <si>
    <t>Less</t>
  </si>
  <si>
    <t>Rents</t>
  </si>
  <si>
    <t>LIHTC/HOME</t>
  </si>
  <si>
    <t>Tenant</t>
  </si>
  <si>
    <t>Income from Laundry:</t>
  </si>
  <si>
    <t>Deferred Developer Fee</t>
  </si>
  <si>
    <t>Equity @ Completion/Stabiliztion</t>
  </si>
  <si>
    <t>Conventional Construction Loan</t>
  </si>
  <si>
    <t>Grants Available during Construction</t>
  </si>
  <si>
    <t>Other Loans at PLC</t>
  </si>
  <si>
    <t>Conventional First Mortgage in lieu of MaineHousing (RD, HUD, FHLB) at PLC</t>
  </si>
  <si>
    <t>MaineHousing</t>
  </si>
  <si>
    <t>General Partner Loan, if necessary</t>
  </si>
  <si>
    <t>Equity and Other Unsecured Debts</t>
  </si>
  <si>
    <t>Deferred Payment</t>
  </si>
  <si>
    <t>TOTAL AT PLC/STABILIZATION</t>
  </si>
  <si>
    <t>TOTAL DURING CONSTRUCTION</t>
  </si>
  <si>
    <t>Other Permanent Loans Available during Construction, if any</t>
  </si>
  <si>
    <t>Are any of these low-income rental units likely to be converted to non-low income occupancy</t>
  </si>
  <si>
    <t>This is a drop down menu</t>
  </si>
  <si>
    <t xml:space="preserve">Acquisition requires 10-year waiver ? </t>
  </si>
  <si>
    <t xml:space="preserve">  Conventional Lender Permanent Loan Fees</t>
  </si>
  <si>
    <t>AMORT-</t>
  </si>
  <si>
    <t>IZATION</t>
  </si>
  <si>
    <t>TOTAL BUILDER OH &amp; PROFIT</t>
  </si>
  <si>
    <t>Please explain any other unique construction characteristics</t>
  </si>
  <si>
    <t xml:space="preserve">County  </t>
  </si>
  <si>
    <t>Unit Sq.Ft.</t>
  </si>
  <si>
    <t>LIHTC Ltd. Partner Percentage</t>
  </si>
  <si>
    <t>Equity yield Equivilent</t>
  </si>
  <si>
    <t>Max LIHTC Available</t>
  </si>
  <si>
    <t>2-3 story walk-up</t>
  </si>
  <si>
    <t>Row/Townhouse</t>
  </si>
  <si>
    <t>High Rise (elevator)</t>
  </si>
  <si>
    <t>Low Rise</t>
  </si>
  <si>
    <t>Garden</t>
  </si>
  <si>
    <t>Detached, Semi-Detached, Single Family</t>
  </si>
  <si>
    <t>Check one or more of the folowing set-asides in which you wish to participate.</t>
  </si>
  <si>
    <t>Will any off-site improvements (e.g. public roads, sidewalks, water/sewer, etc.) be necessary?</t>
  </si>
  <si>
    <t>Insert as many lines as necessary</t>
  </si>
  <si>
    <t>For each building that is being acquired, complete the information on the following tab of this application</t>
  </si>
  <si>
    <t>Adaptive Reuse/Conversion</t>
  </si>
  <si>
    <t>LIHTC Scoring Criteria A.3. Calculations</t>
  </si>
  <si>
    <t>Attach a Current and Proposed Rent Roll.  Samples are included, but these forms are not required so long as the submission includes all the data indentified on the samples</t>
  </si>
  <si>
    <t>Please Provide Detail for Proposed Owner Entity:</t>
  </si>
  <si>
    <t>Are buildings being acquired from a related party?</t>
  </si>
  <si>
    <t>Provide detail for Other Admin Expenses on next tab</t>
  </si>
  <si>
    <t>Provide detail for Other Operating Expenses on next tab</t>
  </si>
  <si>
    <t>Provide detail for Misc Grounds Maintenance on next tab</t>
  </si>
  <si>
    <t>Provide detail for Misc Building Maintenance on next tab</t>
  </si>
  <si>
    <t>Provide detail for Other General Expenses on next tab</t>
  </si>
  <si>
    <t>Provide detail for Other Costs on next tab</t>
  </si>
  <si>
    <t>ACQUISITION</t>
  </si>
  <si>
    <t>Acquisition: other</t>
  </si>
  <si>
    <t>If yes, please describe?</t>
  </si>
  <si>
    <r>
      <t xml:space="preserve">
</t>
    </r>
    <r>
      <rPr>
        <b/>
        <sz val="10"/>
        <rFont val="Arial"/>
        <family val="2"/>
      </rPr>
      <t>NOTES for Construction Costs and Project Costs and Basis:</t>
    </r>
    <r>
      <rPr>
        <b/>
        <sz val="8"/>
        <rFont val="Arial"/>
        <family val="2"/>
      </rPr>
      <t xml:space="preserve">
 --Builder overhead and profit MUST be identified
 --Use of any "other" category must be accompanied by specific details on the next page of this application.  This page can be expanded to accomodate as many line items as necessary.
 --Acquisition costs must be supported by site control documentation and is subject to verification by an "As Is" appraisal
--Professional services such as legal or accounting which are performed by employees of the development entity should be documented in writing  if they are to be allocated to any line item other than Developer Fee 
 -- Developer Fee &amp;  Consultants Fees:  Consultants Fees do not include fees paid for services such as environmental studies, market studies, soils analysis, etc.     Consultant fees do include fees for services normally conducted by the Developer such as obtaining site control, financing, regulatory approvals, and negotiating the syndication, among others.
 -- Developer overhead and profit MUST be separately identified</t>
    </r>
  </si>
  <si>
    <t>Note:  LIHTC Fees will recalculate automatically as the application is completed</t>
  </si>
  <si>
    <t>Note:  MaineHousing Fees will calculate automatically when loans on the Sources tab are completed</t>
  </si>
  <si>
    <t>Provide detail for Other Costs on previous tab</t>
  </si>
  <si>
    <t>Equity Available during Construction (Aggregate multiple contributions)</t>
  </si>
  <si>
    <t>Note:  it is not necessary to repeat Permanent Source Advanced during Construction</t>
  </si>
  <si>
    <t>SOURCES OF FUNDS AT PLC/STABILIZATION</t>
  </si>
  <si>
    <t>TOTAL PERMANENT SOURCES</t>
  </si>
  <si>
    <t>Building Tabulations</t>
  </si>
  <si>
    <t>Total # Units</t>
  </si>
  <si>
    <t>Total Dwellings</t>
  </si>
  <si>
    <t>sq. ft.</t>
  </si>
  <si>
    <t>Tenant Storage</t>
  </si>
  <si>
    <t>Office</t>
  </si>
  <si>
    <t>Social Area</t>
  </si>
  <si>
    <t>Community Laundry</t>
  </si>
  <si>
    <t>Community Kitchen</t>
  </si>
  <si>
    <t>Community Bathroom(s)</t>
  </si>
  <si>
    <t>Project Storage</t>
  </si>
  <si>
    <t>Project Maintenance</t>
  </si>
  <si>
    <t>Circulation</t>
  </si>
  <si>
    <t>Other (Describe)</t>
  </si>
  <si>
    <t>Number of existing low income rental units?</t>
  </si>
  <si>
    <t>Number of existing market rental units?</t>
  </si>
  <si>
    <t xml:space="preserve"> if the Low Income Housing Tax Credit is not made available?</t>
  </si>
  <si>
    <t>Note:  Reserve amounts will calculate according to MaineHousing guidelines, if a different amount is used, higher or lower, please provide an explanation</t>
  </si>
  <si>
    <t xml:space="preserve">Total Prj. Sq. Ft. </t>
  </si>
  <si>
    <t>Name of Participants</t>
  </si>
  <si>
    <t>Note:  to get 0.01%, type 0.01</t>
  </si>
  <si>
    <t>Number of Building Tabulation Sheets</t>
  </si>
  <si>
    <t>Number of</t>
  </si>
  <si>
    <t>Building (s)</t>
  </si>
  <si>
    <t>Unit Sq.Ft.*</t>
  </si>
  <si>
    <t>* if not 100% L.I., work w/ Archictect determine Sq. Ft. in Market Units</t>
  </si>
  <si>
    <t>Milestone</t>
  </si>
  <si>
    <t>1st Equity</t>
  </si>
  <si>
    <t>Final</t>
  </si>
  <si>
    <t>Capital</t>
  </si>
  <si>
    <t>Occupancy</t>
  </si>
  <si>
    <t>Yes/No Drop Down</t>
  </si>
  <si>
    <t>or eligible for placement on the National Historic Register?</t>
  </si>
  <si>
    <t xml:space="preserve">Is the site within an historic district or is the building on </t>
  </si>
  <si>
    <t>Note:  Value of Buildings acquired to be razed and the cost of such demolition should be included as Land.  The Net Present Value of lease payments made for any Land or Land and Buildings that are obtained through a long term capital lease  should be included as Other.</t>
  </si>
  <si>
    <t xml:space="preserve">Note:  When completing this form, it will be necessary for the architect identified on the Applicant Information tab to provide you with this information on a building by building basis from the plans that they are preparing.   You may print the next page and provide it (or e-mail it) to the Architect for them to complete.  
Use this page for the aggregate the totals from each of the buildings in the project submitted by the Architect.
</t>
  </si>
  <si>
    <t>Does any portion of the building include commercial space?</t>
  </si>
  <si>
    <t>Max Eligible Credit</t>
  </si>
  <si>
    <t>QAP Per Unit Cap</t>
  </si>
  <si>
    <t>QAP Per Project Cap</t>
  </si>
  <si>
    <t>Credit Requested</t>
  </si>
  <si>
    <t>Only if not affected by Vacancy Loss such as TIF income</t>
  </si>
  <si>
    <t>If monthly amount is affected by Vacancy Loss</t>
  </si>
  <si>
    <t>Acquisition Costs</t>
  </si>
  <si>
    <t>Gross Effective Income</t>
  </si>
  <si>
    <t>Number of existing parking spaces</t>
  </si>
  <si>
    <t>Other Permanent Loan Fees</t>
  </si>
  <si>
    <t>General Partner (or Affiliate) Loan</t>
  </si>
  <si>
    <t>Payable from Surplus Cash</t>
  </si>
  <si>
    <t>If no, please describe in detail what parking arrangements are planned?  For example, less than 1:1 parking or off-site parking such as surface parking being developed in conjunction with the project or leasing spaces in existing lots or garages, etc.</t>
  </si>
  <si>
    <t>% of maximum Gross Fee</t>
  </si>
  <si>
    <t>Proposed Net Fee Collected</t>
  </si>
  <si>
    <t>% of Maximum Net Fee</t>
  </si>
  <si>
    <t>Maximum Gross Developer Fee (10%/15%)</t>
  </si>
  <si>
    <t>Maximum Net Developer Fee (per unit max)</t>
  </si>
  <si>
    <t>Actual Proposed Gross Fee</t>
  </si>
  <si>
    <t>234 Limits</t>
  </si>
  <si>
    <t>LIHTC Fees &amp; Prepaid Monitoring</t>
  </si>
  <si>
    <t>LIHTC PRE-APPLICATION</t>
  </si>
  <si>
    <t>App =$4500</t>
  </si>
  <si>
    <t>Allocation = 7.5% of Credit</t>
  </si>
  <si>
    <t>Acquisition/Rehab With New Construction</t>
  </si>
  <si>
    <t>Adaptive Reuse/Conversion with New Construction</t>
  </si>
  <si>
    <t>New Construction</t>
  </si>
  <si>
    <t>First Installment</t>
  </si>
  <si>
    <t>Deferred loan from GP - 100% during Construction</t>
  </si>
  <si>
    <t>100% at PLC</t>
  </si>
  <si>
    <t>Drop Down Menu</t>
  </si>
  <si>
    <t>40 year Amortization with Ballon at end of 30 years</t>
  </si>
  <si>
    <t>Interest only for 15 yrs., then 30 year Am with Balloon</t>
  </si>
  <si>
    <t>Interest only for 15 yrs., then 40 year Am with Balloon</t>
  </si>
  <si>
    <t>Interest Only for 30 Years</t>
  </si>
  <si>
    <t>100% at CLC</t>
  </si>
  <si>
    <t>MH:</t>
  </si>
  <si>
    <t>AFFORDABLE AMORTIZING MORTGAGE CALCULATION</t>
  </si>
  <si>
    <t>Management Costs Analysis</t>
  </si>
  <si>
    <t>Affordable Fully Amortizing Mortgage</t>
  </si>
  <si>
    <t>Effective Gross Rental Income</t>
  </si>
  <si>
    <t>Cost Percentage for use in Management Agreement</t>
  </si>
  <si>
    <t>TIF Revenue</t>
  </si>
  <si>
    <t>Real Estate Tax</t>
  </si>
  <si>
    <t>Effective Real Estate Tax</t>
  </si>
  <si>
    <t>After Tax NOI</t>
  </si>
  <si>
    <t>Bangor HMFA</t>
  </si>
  <si>
    <t>Bangor</t>
  </si>
  <si>
    <t>Brewer</t>
  </si>
  <si>
    <t>Eddington</t>
  </si>
  <si>
    <t>Glenburn</t>
  </si>
  <si>
    <t>Hampden</t>
  </si>
  <si>
    <t>Hermon</t>
  </si>
  <si>
    <t>Holden</t>
  </si>
  <si>
    <t>Kenduskeag</t>
  </si>
  <si>
    <t>Milford</t>
  </si>
  <si>
    <t>Old Town</t>
  </si>
  <si>
    <t>Orono</t>
  </si>
  <si>
    <t>Orrington</t>
  </si>
  <si>
    <t>Penobscot Indian Reservation</t>
  </si>
  <si>
    <t>Veazie</t>
  </si>
  <si>
    <t>Bond for Deed</t>
  </si>
  <si>
    <t>Deed</t>
  </si>
  <si>
    <t>Capital Lease Agreement</t>
  </si>
  <si>
    <t>Option Agreement</t>
  </si>
  <si>
    <t>(Expiration Date, if applicable)</t>
  </si>
  <si>
    <t>20% of the units will be available to and occupied by households at or below 50% of the area median income</t>
  </si>
  <si>
    <t>40% of the units will be available to and occupied by households with incomes at or below 60% of the area median income</t>
  </si>
  <si>
    <t>Non-profit Set-aside.</t>
  </si>
  <si>
    <t>Preservation Set-aside.</t>
  </si>
  <si>
    <t>Property will be for families</t>
  </si>
  <si>
    <t>Property will be restricted to elderly tenants</t>
  </si>
  <si>
    <t>Age limitation</t>
  </si>
  <si>
    <t>Elderly Definition</t>
  </si>
  <si>
    <t>HUD</t>
  </si>
  <si>
    <t>RD</t>
  </si>
  <si>
    <t>55+</t>
  </si>
  <si>
    <t>62+</t>
  </si>
  <si>
    <t>Income Averaging with 80% AMI tenants included (discuss in more detail with MaineHousing before making this election)</t>
  </si>
  <si>
    <t>55+ or 62+</t>
  </si>
  <si>
    <t>HUD or RD</t>
  </si>
  <si>
    <t>Individual</t>
  </si>
  <si>
    <t>Corporation</t>
  </si>
  <si>
    <t>Partnership</t>
  </si>
  <si>
    <t>Limited Partnership</t>
  </si>
  <si>
    <t>Qualified Non-Profit</t>
  </si>
  <si>
    <t>Limited Liability Corp.</t>
  </si>
  <si>
    <t>Existing</t>
  </si>
  <si>
    <t>To Be Formed</t>
  </si>
  <si>
    <t>Existing or To Be Formed</t>
  </si>
  <si>
    <t>Drop Down Menus</t>
  </si>
  <si>
    <t xml:space="preserve">Project Subsidy cap is </t>
  </si>
  <si>
    <t>AHP Subsidized Advance</t>
  </si>
  <si>
    <t>TOTAL PROJECT COSTS</t>
  </si>
  <si>
    <t>Total Project Costs</t>
  </si>
  <si>
    <t>Affordable Interest Only Mortgage</t>
  </si>
  <si>
    <t>FEE SCHEDULE</t>
  </si>
  <si>
    <t>Below is an overview of required MaineHousing Application/LIHTC fees:</t>
  </si>
  <si>
    <t>A)</t>
  </si>
  <si>
    <t>Site Review and Evaluation</t>
  </si>
  <si>
    <t>B)</t>
  </si>
  <si>
    <t>Multifamily Application Fee</t>
  </si>
  <si>
    <t>$1,000 per application</t>
  </si>
  <si>
    <t>C)</t>
  </si>
  <si>
    <t>Low Income Housing Tax Credit Fees</t>
  </si>
  <si>
    <t>Application for LIHTC</t>
  </si>
  <si>
    <t>$2,500 per application</t>
  </si>
  <si>
    <t>Allocation Fee</t>
  </si>
  <si>
    <t>Due at Request for Allocation</t>
  </si>
  <si>
    <t>7.5% of Annual Credit Dollar Amount.</t>
  </si>
  <si>
    <t>Monitoring</t>
  </si>
  <si>
    <t>Due Prior to Issuance of Form 8609</t>
  </si>
  <si>
    <t>$1000 one time fee per qualified low income unit</t>
  </si>
  <si>
    <t>MAINE STATE HOUSING AUTHORITY</t>
  </si>
  <si>
    <t>MULTIFAMILY HOUSING FINANCING APPLICATION</t>
  </si>
  <si>
    <t>THE APPLICATION MUST BE COMPLETE.</t>
  </si>
  <si>
    <t>The Application is broken down and organized by the following sections, 
each designated by a tab:</t>
  </si>
  <si>
    <t>•</t>
  </si>
  <si>
    <t>Threshold Documentation</t>
  </si>
  <si>
    <t>Utility Allowance</t>
  </si>
  <si>
    <t>Scoring Documentation</t>
  </si>
  <si>
    <t>Project Income</t>
  </si>
  <si>
    <t>Applicant Information</t>
  </si>
  <si>
    <t>Operating Budget &amp; Addtnl Operating Exp Info</t>
  </si>
  <si>
    <t xml:space="preserve">Conflict of Interest </t>
  </si>
  <si>
    <t>Construction Costs</t>
  </si>
  <si>
    <t>Tax Credit Compliance</t>
  </si>
  <si>
    <t>Project Cost and Basis &amp; Addtnl Prj Cost Info</t>
  </si>
  <si>
    <t>Project Information &amp; Addtnl Prj Info</t>
  </si>
  <si>
    <t>Tax Credit Calculations</t>
  </si>
  <si>
    <t>Building Summary</t>
  </si>
  <si>
    <t>NPV-PV Calculations, if ncessary</t>
  </si>
  <si>
    <t>Current Rent Roll, if ncessary</t>
  </si>
  <si>
    <t>(for Below Market Funding scoring)</t>
  </si>
  <si>
    <t>Proposed Rent Roll, if ncessary</t>
  </si>
  <si>
    <t>Project Completion Schedule</t>
  </si>
  <si>
    <r>
      <t xml:space="preserve">You must complete all of the information under each tab, unless otherwise indicated, and submit all documentation required under the Threshold Submissions Tab to be eligible for low-income housing tax credits and financing from MaineHousing.  </t>
    </r>
    <r>
      <rPr>
        <b/>
        <sz val="10"/>
        <rFont val="Arial"/>
        <family val="2"/>
        <scheme val="major"/>
      </rPr>
      <t/>
    </r>
  </si>
  <si>
    <t xml:space="preserve">You must complete all of the information and submit all documentation required under the Scoring Submissions Tab with respect to a scoring criteria to be eligible for the points under the scoring criteria. </t>
  </si>
  <si>
    <t>AUTHORIZATION</t>
  </si>
  <si>
    <t>By electronically submitting this application to MaineHousing, the applicant authorizes 
MaineHousing to:</t>
  </si>
  <si>
    <t>verify the accuracy and completeness of any financial information or other information provided in the application or the documentation submitted with the application;</t>
  </si>
  <si>
    <t>investigate the credit, financial condition, professional capacity, business standing and employment of the applicant, any principal of the applicant or principal thereof or any member of the applicant’s Development Team;</t>
  </si>
  <si>
    <t>issue an inducement resolution or take any other actions that constitute “official action” for purposes of qualifying the project described in the application for tax-exempt bonds; and</t>
  </si>
  <si>
    <t>disclose any and all information provided by the applicant or in connection with the application as MaineHousing deems necessary to achieve the foregoing and otherwise evaluate the application, including without limitation discussing this application with any lender, municipal official, vendor or other party with an interest in the project described in the Application, or as required by or allowed under applicable state and federal law.</t>
  </si>
  <si>
    <t>CERTIFICATION</t>
  </si>
  <si>
    <t>By electronically submitting this Application to MaineHousing, the Applicant hereby certifies and represents that:</t>
  </si>
  <si>
    <t>The submission of this Application is fully authorized by or on behalf of the Applicant;</t>
  </si>
  <si>
    <t>The representations, information and documentation provided in or submitted with this Application are true, accurate and complete;</t>
  </si>
  <si>
    <t>The Applicant, any principal or affiliate thereof, and any entity controlled by the Applicant, principal or affiliate thereof are not insolvent or the subject of any proceeding or arrangement for relief from creditors, including without limitation bankruptcy, and have not in the last 6 months been declared in default or been 60 days or more delinquent or, if so, have an approved payment or workout plan in place and in good standing;</t>
  </si>
  <si>
    <t>The Applicant, any principal or affiliate thereof, and any entity controlled by the Applicant, principal or affiliate thereof have never been the owner of any MaineHousing-financed property on which MaineHousing has foreclosed a mortgage interest, or MaineHousing has issued a written waiver thereof for justifiable public policy reasons set forth in the waiver;</t>
  </si>
  <si>
    <t>The Applicant, any principal or affiliate thereof, and any entity controlled by the Applicant, principal or affiliate thereof, are not presently debarred, suspended, proposed for debarment or excluded from participation in any federal or state programs;</t>
  </si>
  <si>
    <t>The Applicant is familiar with and agrees to comply with all provisions and requirements under MaineHousing’s Qualified Allocation Plan, MaineHousing’s Rental Loan Program (if applying for financing thereunder) and Section 42 of the Internal Revenue Code of 1986 and all associated regulations and guidance as same may be amended; and</t>
  </si>
  <si>
    <t>The Applicant is familiar with and agrees to comply with and to design, construct and operate the project described in the Application in accordance with Title VIII of the Civil Rights Act of 1968, as amended, and HUD’s regulations at 24 C.F.R. Part 100-115 (Federal Fair Housing Act), Section 504 of the Rehabilitation Act of 1973 and HUD's housing regulations at 24 C.F.R. Part 8, Title II and Title III of the Americans with Disabilities Act of 1990 and the 2010 Standards of Accessible Design, the Maine Human Rights Act, and all other applicable federal and State laws pertaining to fair housing, equal opportunity and accessibility, and all regulations and guidance associated with the foregoing, as any of the foregoing may be amended.</t>
  </si>
  <si>
    <t xml:space="preserve">The Applicant agrees to include MaineHousing in all correspondence with all parties that will or may potentially provide funding for the development and operation of the project described in the 
Application, including but not limited to equity investors, construction lenders, permanent lenders, service providers and providers of project-based rental assistance and other operating subsidy.
</t>
  </si>
  <si>
    <t xml:space="preserve">THE APPLICATION WILL NOT BE ACCEPTED, APPROVED OR PROCESSED IF ANY OF THE FOREGOING REPRESENTATIONS OR CERTIFICATIONS IS OR BECOMES INCORRECT OR UNTRUE ON OR AFTER THE SUBMISSION OF THE APPLICATION.  </t>
  </si>
  <si>
    <t>Total Development Cost Index</t>
  </si>
  <si>
    <t>Project  Configuration</t>
  </si>
  <si>
    <t>Per unit Benchmarks</t>
  </si>
  <si>
    <t>Per unit Caps</t>
  </si>
  <si>
    <t>Adaptive Reuse</t>
  </si>
  <si>
    <t>Excluded Costs</t>
  </si>
  <si>
    <t>Excess Developer Fee</t>
  </si>
  <si>
    <t>Total Eligible Development Cost</t>
  </si>
  <si>
    <t>Number of Units</t>
  </si>
  <si>
    <t>Total Number of Bedrooms</t>
  </si>
  <si>
    <t>TDC/Unit</t>
  </si>
  <si>
    <t>TDC/BR</t>
  </si>
  <si>
    <t>TDC Index</t>
  </si>
  <si>
    <t>Project Cap</t>
  </si>
  <si>
    <t>Below Market Capital</t>
  </si>
  <si>
    <t>$100,000 up to 3% = 1 pt</t>
  </si>
  <si>
    <t>&gt; 3% up to 6% = 2 pts</t>
  </si>
  <si>
    <t>&gt; 6% up to 9% = 3 pts</t>
  </si>
  <si>
    <t>&gt; 9% up to 12% = 4 pts</t>
  </si>
  <si>
    <t>&gt; 12% up to 15% = 5 pts</t>
  </si>
  <si>
    <t>&gt; 15% = 6 pts</t>
  </si>
  <si>
    <t>NPV of Sources</t>
  </si>
  <si>
    <t>Below Mrk Amortizing Loans</t>
  </si>
  <si>
    <t>Below Mrk Accruing Loans</t>
  </si>
  <si>
    <t>0% Deferred Loans</t>
  </si>
  <si>
    <t>Below Market Capital %</t>
  </si>
  <si>
    <t>Acquisition Cost</t>
  </si>
  <si>
    <t>Project Type</t>
  </si>
  <si>
    <t>Cost per Unit</t>
  </si>
  <si>
    <t>Benchmark Comparison</t>
  </si>
  <si>
    <t xml:space="preserve">APPLICANT CONFLICT OF INTEREST DISCLOSURE FORM
</t>
  </si>
  <si>
    <t xml:space="preserve">To ensure that we maintain the continued confidence of Maine people and our partners in carrying out our mission of providing affordable housing, our employees and commissioners and former employees and commissioners must avoid situations which are, or appear to be, at odds with their responsibility to MaineHousing.  These situations can include obligations or commitments to other organizations or individuals or personal or financial relationships or interests.  </t>
  </si>
  <si>
    <t>Maine law and, when federal funding is involved, federal regulations govern conflicts of interest.  In general, these laws prohibit MaineHousing employees and commissioners from working on transactions with applicants with whom they have financial, business, professional, or personal relationships or other ties.  In addition, these laws prohibit former MaineHousing employees and commissioners from working on certain transactions for up to two years after leaving MaineHousing.</t>
  </si>
  <si>
    <t>To help ensure the continuing integrity of MaineHousing’s business and compliance with these laws, applicants for loans or certain other assistance under MaineHousing’s programs must disclose any financial, business, professional, civic, charitable, family (or other personal) relationships, associations or connections that the applicant, its affiliates, employees of applicant who may work on the MaineHousing project, or any parties the applicant intends to hire to work on the MaineHousing project (whether employees, contractors or consultants) may currently have with MaineHousing or any MaineHousing employee or commissioner or may have had within the past two years.  An applicant and its affiliates include:</t>
  </si>
  <si>
    <t>▪    if the applicant is one or more individuals, all individuals;</t>
  </si>
  <si>
    <t xml:space="preserve">▪    if the applicant is a business or nonprofit entity, that entity; </t>
  </si>
  <si>
    <t>▪    the officers and board members of the applicant;</t>
  </si>
  <si>
    <t>▪    employees of the applicant with decision-making authority, including an executive director, manager or someone</t>
  </si>
  <si>
    <t xml:space="preserve">      in a similar position;</t>
  </si>
  <si>
    <t>▪    if the applicant is a business corporation, any shareholder with a controlling interest;</t>
  </si>
  <si>
    <t>▪    if the applicant is a partnership, the applicant’s partners;</t>
  </si>
  <si>
    <t>▪    any other business partner or associate of the applicant involved in this MaineHousing project;</t>
  </si>
  <si>
    <t>▪    if the applicant is a limited liability company, the members and managers;</t>
  </si>
  <si>
    <t>▪    a family member (including husband, wife, child, brother, sister) or other person in a personal relationship;</t>
  </si>
  <si>
    <t xml:space="preserve">If you are unsure whether a relationship, association, or connection you have may constitute a conflict of interest, please consult with MaineHousing’s Manager of Internal Audit.  </t>
  </si>
  <si>
    <t>To the best of your knowledge:</t>
  </si>
  <si>
    <t>Yes/No drop down</t>
  </si>
  <si>
    <t>1. Does the Applicant, any Principal or any Affiliate of either, or anyone who will be paid for work on the program have business ties, familial relationships, or other close personal relationships with a current MaineHousing employee or commissioner or with anyone who was a MaineHousing employee or commissioner within the past two years?</t>
  </si>
  <si>
    <t>PLEASE NOTE:  If you answered yes to any of the above questions, please describe below.</t>
  </si>
  <si>
    <t>Continue on next page if needed</t>
  </si>
  <si>
    <t>Tax Credit Experience Certification</t>
  </si>
  <si>
    <t>The applicant and/or affiliates of the applicant have prior experience with Qualified Low Income Housing Projects:</t>
  </si>
  <si>
    <r>
      <t xml:space="preserve">1.  </t>
    </r>
    <r>
      <rPr>
        <b/>
        <sz val="8.5"/>
        <rFont val="MS Sans Serif"/>
        <family val="2"/>
      </rPr>
      <t>None</t>
    </r>
    <r>
      <rPr>
        <sz val="8.5"/>
        <rFont val="MS Sans Serif"/>
        <family val="2"/>
      </rPr>
      <t xml:space="preserve"> of which have been declared in default in the last five years, </t>
    </r>
    <r>
      <rPr>
        <b/>
        <sz val="8.5"/>
        <rFont val="MS Sans Serif"/>
        <family val="2"/>
      </rPr>
      <t>and</t>
    </r>
    <r>
      <rPr>
        <sz val="8.5"/>
        <rFont val="MS Sans Serif"/>
        <family val="2"/>
      </rPr>
      <t>.</t>
    </r>
  </si>
  <si>
    <r>
      <t xml:space="preserve">2.  </t>
    </r>
    <r>
      <rPr>
        <b/>
        <sz val="8.5"/>
        <rFont val="Arial"/>
        <family val="2"/>
      </rPr>
      <t>(a) has not been issued</t>
    </r>
    <r>
      <rPr>
        <sz val="8.5"/>
        <rFont val="Arial"/>
        <family val="2"/>
      </rPr>
      <t xml:space="preserve"> an IRS Form 8823 in the last three years </t>
    </r>
    <r>
      <rPr>
        <b/>
        <sz val="8.5"/>
        <rFont val="Arial"/>
        <family val="2"/>
      </rPr>
      <t>or</t>
    </r>
    <r>
      <rPr>
        <sz val="8.5"/>
        <rFont val="Arial"/>
        <family val="2"/>
      </rPr>
      <t xml:space="preserve"> </t>
    </r>
    <r>
      <rPr>
        <b/>
        <sz val="8.5"/>
        <rFont val="Arial"/>
        <family val="2"/>
      </rPr>
      <t xml:space="preserve">(b) has been </t>
    </r>
    <r>
      <rPr>
        <sz val="8.5"/>
        <rFont val="Arial"/>
        <family val="2"/>
      </rPr>
      <t xml:space="preserve"> </t>
    </r>
    <r>
      <rPr>
        <b/>
        <sz val="8"/>
        <rFont val="Arial"/>
        <family val="2"/>
      </rPr>
      <t/>
    </r>
  </si>
  <si>
    <r>
      <rPr>
        <b/>
        <sz val="8.5"/>
        <rFont val="Arial"/>
        <family val="2"/>
      </rPr>
      <t xml:space="preserve">issued </t>
    </r>
    <r>
      <rPr>
        <sz val="8.5"/>
        <rFont val="Arial"/>
        <family val="2"/>
      </rPr>
      <t xml:space="preserve">an IRS Form 8823 in the last three years, </t>
    </r>
    <r>
      <rPr>
        <b/>
        <sz val="8.5"/>
        <rFont val="Arial"/>
        <family val="2"/>
      </rPr>
      <t>but was</t>
    </r>
    <r>
      <rPr>
        <sz val="8.5"/>
        <rFont val="Arial"/>
        <family val="2"/>
      </rPr>
      <t xml:space="preserve"> subsequently reported as </t>
    </r>
  </si>
  <si>
    <r>
      <t xml:space="preserve">"noncompliance corrected" within the specified time period for correction, </t>
    </r>
    <r>
      <rPr>
        <b/>
        <sz val="8.5"/>
        <rFont val="Arial"/>
        <family val="2"/>
      </rPr>
      <t>and</t>
    </r>
    <r>
      <rPr>
        <sz val="8.5"/>
        <rFont val="Arial"/>
        <family val="2"/>
      </rPr>
      <t xml:space="preserve"> </t>
    </r>
  </si>
  <si>
    <r>
      <t xml:space="preserve">3.  </t>
    </r>
    <r>
      <rPr>
        <b/>
        <sz val="8.5"/>
        <rFont val="Arial"/>
        <family val="2"/>
      </rPr>
      <t>Has not</t>
    </r>
    <r>
      <rPr>
        <sz val="8.5"/>
        <rFont val="Arial"/>
        <family val="2"/>
      </rPr>
      <t xml:space="preserve"> had an IRS audit finding resulting in a recapture event in the last three years.</t>
    </r>
  </si>
  <si>
    <r>
      <t xml:space="preserve">1.  </t>
    </r>
    <r>
      <rPr>
        <b/>
        <sz val="8.5"/>
        <rFont val="Arial"/>
        <family val="2"/>
      </rPr>
      <t>One or more</t>
    </r>
    <r>
      <rPr>
        <sz val="8.5"/>
        <rFont val="Arial"/>
        <family val="2"/>
      </rPr>
      <t xml:space="preserve"> of which have been declared in default in the last five years, </t>
    </r>
    <r>
      <rPr>
        <b/>
        <sz val="8.5"/>
        <rFont val="Arial"/>
        <family val="2"/>
      </rPr>
      <t>or</t>
    </r>
  </si>
  <si>
    <r>
      <t xml:space="preserve">2.  </t>
    </r>
    <r>
      <rPr>
        <b/>
        <sz val="8.5"/>
        <rFont val="Arial"/>
        <family val="2"/>
      </rPr>
      <t>Has been issued</t>
    </r>
    <r>
      <rPr>
        <sz val="8.5"/>
        <rFont val="Arial"/>
        <family val="2"/>
      </rPr>
      <t xml:space="preserve"> an IRS Form 8823 in the last three years that </t>
    </r>
    <r>
      <rPr>
        <b/>
        <sz val="8.5"/>
        <rFont val="Arial"/>
        <family val="2"/>
      </rPr>
      <t>was not</t>
    </r>
    <r>
      <rPr>
        <sz val="8.5"/>
        <rFont val="Arial"/>
        <family val="2"/>
      </rPr>
      <t xml:space="preserve">  subsequently </t>
    </r>
  </si>
  <si>
    <r>
      <t xml:space="preserve">reported as "noncompliance corrected" within the specified time period for correction, </t>
    </r>
    <r>
      <rPr>
        <b/>
        <sz val="8.5"/>
        <rFont val="Arial"/>
        <family val="2"/>
      </rPr>
      <t>or</t>
    </r>
  </si>
  <si>
    <r>
      <t xml:space="preserve">3.  </t>
    </r>
    <r>
      <rPr>
        <b/>
        <sz val="8.5"/>
        <rFont val="Arial"/>
        <family val="2"/>
      </rPr>
      <t xml:space="preserve"> Has had</t>
    </r>
    <r>
      <rPr>
        <sz val="8.5"/>
        <rFont val="Arial"/>
        <family val="2"/>
      </rPr>
      <t xml:space="preserve"> an IRS audit finding resulting in a recapture event in the last three years.</t>
    </r>
  </si>
  <si>
    <t xml:space="preserve">If yes to any of these three statements, please provide the details of the event(s) below, including date(s) </t>
  </si>
  <si>
    <t xml:space="preserve">of the occurance(s), state(s) in which the action(s) took place, the specific circumstances that caused the </t>
  </si>
  <si>
    <t>event(s), and whether the situation(s) is/are ongoing or the details of the final resolution(s) by the state(s).</t>
  </si>
  <si>
    <r>
      <t xml:space="preserve">The applicant and/or affiliates of the applicant </t>
    </r>
    <r>
      <rPr>
        <b/>
        <sz val="8.5"/>
        <rFont val="Arial"/>
        <family val="2"/>
      </rPr>
      <t>does not</t>
    </r>
    <r>
      <rPr>
        <sz val="8.5"/>
        <rFont val="Arial"/>
        <family val="2"/>
      </rPr>
      <t xml:space="preserve"> have prior experience with Qualified Low Income Housing Projects.</t>
    </r>
  </si>
  <si>
    <t>For each building that is being acquired, complete the following information</t>
  </si>
  <si>
    <t>Address of Bldg</t>
  </si>
  <si>
    <t>Date last</t>
  </si>
  <si>
    <t>Date of most</t>
  </si>
  <si>
    <t>Proposed</t>
  </si>
  <si>
    <t># Years between</t>
  </si>
  <si>
    <t>Street #/Map Lot</t>
  </si>
  <si>
    <t>placed</t>
  </si>
  <si>
    <t>recent non-qualified</t>
  </si>
  <si>
    <t>Acquire</t>
  </si>
  <si>
    <t>original date placed</t>
  </si>
  <si>
    <t>Bldg #</t>
  </si>
  <si>
    <t>in service</t>
  </si>
  <si>
    <t>sub improvement*</t>
  </si>
  <si>
    <t>in service and acq</t>
  </si>
  <si>
    <t>* Defined at Section 42(d)(2)</t>
  </si>
  <si>
    <t>Unit Type</t>
  </si>
  <si>
    <t>CURRENT RENT ROLL</t>
  </si>
  <si>
    <t>This sample form is not required so long as the actual submission includes all data indentified here and includes the certification from the seller</t>
  </si>
  <si>
    <t>Note:  if using this form, you may add as many lines as necessary, print and provide (or e-mail) to the seller of the property to complete</t>
  </si>
  <si>
    <t>Apt. #</t>
  </si>
  <si>
    <t>Tenant Name</t>
  </si>
  <si>
    <t>Family
Size</t>
  </si>
  <si>
    <t>Gross Annual Income</t>
  </si>
  <si>
    <t># of
Bedrooms</t>
  </si>
  <si>
    <t>Tenant Receives Rental Assistance?
Yes or No</t>
  </si>
  <si>
    <r>
      <t>If yes, Decsribe 
Type of Assistance</t>
    </r>
    <r>
      <rPr>
        <b/>
        <sz val="8"/>
        <rFont val="Arial"/>
        <family val="2"/>
        <scheme val="major"/>
      </rPr>
      <t>*</t>
    </r>
  </si>
  <si>
    <t>Total # of units</t>
  </si>
  <si>
    <t>* Examples:</t>
  </si>
  <si>
    <t>Section 8 Voucher</t>
  </si>
  <si>
    <t>Project Based Section 8</t>
  </si>
  <si>
    <t>CERTIFICATIONS</t>
  </si>
  <si>
    <t>RD Rental Assistance</t>
  </si>
  <si>
    <t>I hereby certify that I have not required any tenant to move except for cause, such as for violation of the lease or local law, during the 12 months</t>
  </si>
  <si>
    <t>previous to the date of this Application. I acknowledge that I may be asked to assist in the gathering of employment verification information.</t>
  </si>
  <si>
    <t>Signature of Owner:</t>
  </si>
  <si>
    <t>Mailing Address:</t>
  </si>
  <si>
    <t>Building Address:</t>
  </si>
  <si>
    <t xml:space="preserve">PROPOSED INCOME TARGETING AND RENTS (Units Must Match Current Rent Roll) </t>
  </si>
  <si>
    <t>Income Target 50/60/Mkt</t>
  </si>
  <si>
    <t>Present Rent</t>
  </si>
  <si>
    <t>Proposed Rent</t>
  </si>
  <si>
    <t>% Increase &gt; 10%</t>
  </si>
  <si>
    <t>Total Rent</t>
  </si>
  <si>
    <t>Activity</t>
  </si>
  <si>
    <t>Actual/Scheduled Date</t>
  </si>
  <si>
    <t>Month/Year</t>
  </si>
  <si>
    <t>A.   SITE</t>
  </si>
  <si>
    <t>Option/Contract</t>
  </si>
  <si>
    <t>Site Acquisition</t>
  </si>
  <si>
    <t>Zoning Approval</t>
  </si>
  <si>
    <t>Site Analysis</t>
  </si>
  <si>
    <t>B.  FINANCING</t>
  </si>
  <si>
    <t>Construction Loan Commitment</t>
  </si>
  <si>
    <t>Permanent Loan Commitment</t>
  </si>
  <si>
    <t>Other Sources Committed</t>
  </si>
  <si>
    <t>C.  PLANS AND SPECIFICATIONS</t>
  </si>
  <si>
    <t>D.  CONSTRUCTION LOAN CLOSING</t>
  </si>
  <si>
    <t>E.  CONSTRUCTION START</t>
  </si>
  <si>
    <t>F.  COMPLETION OF CONSTRUCTION</t>
  </si>
  <si>
    <t>G.  LEASE-UP</t>
  </si>
  <si>
    <t xml:space="preserve">Initial Lease-up </t>
  </si>
  <si>
    <t>Sustained (95%) Occupancy</t>
  </si>
  <si>
    <t>Please account for application processing - approximately 60 days from the application due date.</t>
  </si>
  <si>
    <t>For each Source of Funds on the previous Tab that qualifies as Below Market Funding, calculate the value of the funds using the appropriate method below</t>
  </si>
  <si>
    <t>Amortizing Loan</t>
  </si>
  <si>
    <t>Accruing Loan</t>
  </si>
  <si>
    <t>Term</t>
  </si>
  <si>
    <t>Note Rate</t>
  </si>
  <si>
    <t>Difference</t>
  </si>
  <si>
    <t>Market Rate</t>
  </si>
  <si>
    <t>Equal Monthly</t>
  </si>
  <si>
    <t>Payments of</t>
  </si>
  <si>
    <t>Accrued Value @ Mkt</t>
  </si>
  <si>
    <t>Accrued Value @ Note Rate</t>
  </si>
  <si>
    <t>PV of Subsidy</t>
  </si>
  <si>
    <t>0% Deferred Loan</t>
  </si>
  <si>
    <t>FV</t>
  </si>
  <si>
    <t>PV</t>
  </si>
  <si>
    <t>NPV of Subsidy</t>
  </si>
  <si>
    <t>Value of Subsidy</t>
  </si>
  <si>
    <t>Yes/No</t>
  </si>
  <si>
    <t>yes or no from the drop down menues</t>
  </si>
  <si>
    <t xml:space="preserve">Select one of the three options below by choosing </t>
  </si>
  <si>
    <t>plus</t>
  </si>
  <si>
    <t>$2,000 Commitment Fee</t>
  </si>
  <si>
    <t>Due at Construction Loan Closing</t>
  </si>
  <si>
    <t>Grant*</t>
  </si>
  <si>
    <t>City FEDHOME*</t>
  </si>
  <si>
    <t>AHP Capital Advance*</t>
  </si>
  <si>
    <t>TIF Loan*</t>
  </si>
  <si>
    <t>Monitoring = $1000 / LIHTC Unit</t>
  </si>
  <si>
    <t>materials as specified in Appendix B of the QAP</t>
  </si>
  <si>
    <t>(Taxable Debt, Tax-exempt Debt and/or Subsidy)</t>
  </si>
  <si>
    <t>Due at time of application</t>
  </si>
  <si>
    <t>Is this for Tax-exempt debt?</t>
  </si>
  <si>
    <t>This will be used when reviewing Selection Criteria for applicants to the 9% LIHTC round.</t>
  </si>
  <si>
    <t>LIHTC Allocating Agency Utility Estimate</t>
  </si>
  <si>
    <t>0% Deferred Payment Loan</t>
  </si>
  <si>
    <t>0% Deferrred Loan during construction:
50% of requested subsidy for 9% LIHTC Credits
Any subsidy for Tax-exempt Applications during construction is at MaineHousing's discretion</t>
  </si>
  <si>
    <t>0% Deferred Loan:
9% LIHTC applicants input 50% of the requested subsidy, remaining 50% is completed automatically
Tax-exempt applicants input 100% of the subsidy</t>
  </si>
  <si>
    <t>% of CL</t>
  </si>
  <si>
    <t>Agg. Basis</t>
  </si>
  <si>
    <t>Perm. TE</t>
  </si>
  <si>
    <t>Min TE Amt</t>
  </si>
  <si>
    <t xml:space="preserve">For Tax-exempt Financing </t>
  </si>
  <si>
    <t>DDA's and QCT's can be found</t>
  </si>
  <si>
    <t>https://www.novoco.com/resource-centers/affordable-housing-tax-credits/data-tools/fair-market-rents/fair-market-rents/qualified-census-tracts-qcts-and-difficult-development-areas-ddas</t>
  </si>
  <si>
    <t>LIHTC APPLICATION</t>
  </si>
  <si>
    <t>Acquisition/Rehab With Adaptive Reuse/Conversion</t>
  </si>
  <si>
    <t>Drop Down</t>
  </si>
  <si>
    <t>MaineHousing Fees</t>
  </si>
  <si>
    <t>Commercial Costs</t>
  </si>
  <si>
    <t>Total Commercial Costs</t>
  </si>
  <si>
    <t xml:space="preserve">Does the project include at least 1 on-site parking space for each unit in the proposed development? </t>
  </si>
  <si>
    <t>Reduction in Maximum LIHTC Allocation resulting from excess sources and/or investor requirements</t>
  </si>
  <si>
    <t>Total Project Cost/Sq ft.</t>
  </si>
  <si>
    <t xml:space="preserve">$2000 per pre-application, submitted with pre-application </t>
  </si>
  <si>
    <t>A preference in the occupancy of the project described in the Application will be given to persons who are currently on a public housing or Section 8 waiting list, or no preference will be given because the project described in the Application is or will be financed by Rural Development or receives rental assistance under the Section 8 Project-Based Rental Assistance Program;</t>
  </si>
  <si>
    <t>Total Project Cost</t>
  </si>
  <si>
    <t>Amortization</t>
  </si>
  <si>
    <t>Bal. of CL</t>
  </si>
  <si>
    <t>SET-ASIDES 9% LIHTC Round (Not applicable for Tax-exempt bond financed projects)</t>
  </si>
  <si>
    <t>Project:</t>
  </si>
  <si>
    <t>Tot # Units:</t>
  </si>
  <si>
    <t>Max Annual Credit Dollar Amount</t>
  </si>
  <si>
    <t>GAP Calculation</t>
  </si>
  <si>
    <t>130% Basis Adjustment</t>
  </si>
  <si>
    <t>y</t>
  </si>
  <si>
    <t xml:space="preserve">&lt;&lt;&lt;&lt;&lt;insert y if 130% adj </t>
  </si>
  <si>
    <t>Ltd Int.</t>
  </si>
  <si>
    <t>Calc max</t>
  </si>
  <si>
    <t>Recognized</t>
  </si>
  <si>
    <t>ACQ(1)</t>
  </si>
  <si>
    <t>30% PV(2)</t>
  </si>
  <si>
    <t>70% PV(3)</t>
  </si>
  <si>
    <t>Basis</t>
  </si>
  <si>
    <t>Percentage</t>
  </si>
  <si>
    <t>Deferred Source</t>
  </si>
  <si>
    <t>1,2,or 3 &gt;&gt;</t>
  </si>
  <si>
    <t>Cost</t>
  </si>
  <si>
    <t>Dev Fee</t>
  </si>
  <si>
    <t>Dep Basis</t>
  </si>
  <si>
    <t>ACQ</t>
  </si>
  <si>
    <t>30% PV</t>
  </si>
  <si>
    <t>70% PV</t>
  </si>
  <si>
    <t>Tot Project Sqft</t>
  </si>
  <si>
    <t>Total 30% Acquisition Basis</t>
  </si>
  <si>
    <t>Debt Sources</t>
  </si>
  <si>
    <t>Acquisition:</t>
  </si>
  <si>
    <t>Land</t>
  </si>
  <si>
    <t>n</t>
  </si>
  <si>
    <t>Deferred Dev Fee</t>
  </si>
  <si>
    <t>Buildings</t>
  </si>
  <si>
    <t>Credit Needed</t>
  </si>
  <si>
    <t>Sqft of LI</t>
  </si>
  <si>
    <t>Ea Bldg</t>
  </si>
  <si>
    <t>Sq.Ft.</t>
  </si>
  <si>
    <t>Tot</t>
  </si>
  <si>
    <t xml:space="preserve">LI </t>
  </si>
  <si>
    <t>Unit</t>
  </si>
  <si>
    <t>Applic</t>
  </si>
  <si>
    <t>GAP</t>
  </si>
  <si>
    <t>Minimum Rehab Test</t>
  </si>
  <si>
    <t>Actual</t>
  </si>
  <si>
    <t>Construction Costs:</t>
  </si>
  <si>
    <t xml:space="preserve">Bldg </t>
  </si>
  <si>
    <t>Gross Sqft</t>
  </si>
  <si>
    <t>Units</t>
  </si>
  <si>
    <t>As % total</t>
  </si>
  <si>
    <t>Fraction</t>
  </si>
  <si>
    <t>Acq Cost</t>
  </si>
  <si>
    <t>*.10</t>
  </si>
  <si>
    <t>Acq Bas</t>
  </si>
  <si>
    <t># units</t>
  </si>
  <si>
    <t>Rehab</t>
  </si>
  <si>
    <t>Site</t>
  </si>
  <si>
    <r>
      <t xml:space="preserve">Max </t>
    </r>
    <r>
      <rPr>
        <b/>
        <sz val="8"/>
        <rFont val="Arial"/>
        <family val="2"/>
      </rPr>
      <t>Eligible</t>
    </r>
    <r>
      <rPr>
        <sz val="8"/>
        <rFont val="Arial"/>
        <family val="2"/>
      </rPr>
      <t xml:space="preserve"> Basis</t>
    </r>
  </si>
  <si>
    <r>
      <t xml:space="preserve">Max </t>
    </r>
    <r>
      <rPr>
        <b/>
        <sz val="8"/>
        <rFont val="Arial"/>
        <family val="2"/>
      </rPr>
      <t>Qualified</t>
    </r>
    <r>
      <rPr>
        <sz val="8"/>
        <rFont val="Arial"/>
        <family val="2"/>
      </rPr>
      <t xml:space="preserve"> Basis</t>
    </r>
  </si>
  <si>
    <t>Structure</t>
  </si>
  <si>
    <t>Acq</t>
  </si>
  <si>
    <t>30% Acq</t>
  </si>
  <si>
    <t>General Conditions</t>
  </si>
  <si>
    <t>MSHA PROCESSING</t>
  </si>
  <si>
    <t>Overhead</t>
  </si>
  <si>
    <t>Profit</t>
  </si>
  <si>
    <t>Contingency</t>
  </si>
  <si>
    <t>Carryover Allocation</t>
  </si>
  <si>
    <t>Total Construction</t>
  </si>
  <si>
    <t>1 or 3</t>
  </si>
  <si>
    <t>Placed in Service</t>
  </si>
  <si>
    <t>NC or REH</t>
  </si>
  <si>
    <t>MAX FEE</t>
  </si>
  <si>
    <t>IRS Form 8609</t>
  </si>
  <si>
    <t>ACQ/REH</t>
  </si>
  <si>
    <t>MH Permanent Loan Fees</t>
  </si>
  <si>
    <t>THIS PROJ</t>
  </si>
  <si>
    <t>Credit Amount Requested</t>
  </si>
  <si>
    <t>Historic Equity</t>
  </si>
  <si>
    <t>*7.5K</t>
  </si>
  <si>
    <t>Application</t>
  </si>
  <si>
    <t>Greater of 10% or 7.5K</t>
  </si>
  <si>
    <t>multiply by 25% or 35%</t>
  </si>
  <si>
    <t>Construction Period</t>
  </si>
  <si>
    <t>Mon. Per Quarter</t>
  </si>
  <si>
    <t>Interest Rate</t>
  </si>
  <si>
    <t>Mon. to Close</t>
  </si>
  <si>
    <t>Utilization Rate</t>
  </si>
  <si>
    <t>Drawn</t>
  </si>
  <si>
    <t>Cummulative</t>
  </si>
  <si>
    <t>Sub. Per Unit</t>
  </si>
  <si>
    <t>Sub. Per L.I Unit</t>
  </si>
  <si>
    <t>Mkt. Diff. Per Unit</t>
  </si>
  <si>
    <r>
      <rPr>
        <b/>
        <sz val="8"/>
        <rFont val="Arial"/>
        <family val="2"/>
      </rPr>
      <t>First Lien</t>
    </r>
    <r>
      <rPr>
        <sz val="8"/>
        <rFont val="Arial"/>
        <family val="2"/>
      </rPr>
      <t xml:space="preserve"> Financing</t>
    </r>
  </si>
  <si>
    <r>
      <rPr>
        <b/>
        <sz val="8"/>
        <rFont val="Arial"/>
        <family val="2"/>
      </rPr>
      <t>Second Lien</t>
    </r>
    <r>
      <rPr>
        <sz val="8"/>
        <rFont val="Arial"/>
        <family val="2"/>
      </rPr>
      <t xml:space="preserve"> Financing</t>
    </r>
  </si>
  <si>
    <r>
      <rPr>
        <b/>
        <sz val="8"/>
        <rFont val="Arial"/>
        <family val="2"/>
      </rPr>
      <t>Third Lien</t>
    </r>
    <r>
      <rPr>
        <sz val="8"/>
        <rFont val="Arial"/>
        <family val="2"/>
      </rPr>
      <t xml:space="preserve"> Financing</t>
    </r>
  </si>
  <si>
    <t>COLLATERAL COVERAGE (Permanent)</t>
  </si>
  <si>
    <t>COLLATERAL COVERAGE (Construction)</t>
  </si>
  <si>
    <t>Construction Loan Interest Estimate</t>
  </si>
  <si>
    <t>Capitalized terms used in the Application are defined in the 2023-2024 Qualified Allocation Plan.</t>
  </si>
  <si>
    <t># of BR</t>
  </si>
  <si>
    <t>LIHTC UA</t>
  </si>
  <si>
    <t>Collectible</t>
  </si>
  <si>
    <t>Proposed to Tenant</t>
  </si>
  <si>
    <t>Market Study Rent</t>
  </si>
  <si>
    <t>Income from Laundry</t>
  </si>
  <si>
    <t>Total Schedule Income</t>
  </si>
  <si>
    <t>Projected Vacancy Loss</t>
  </si>
  <si>
    <t>Income</t>
  </si>
  <si>
    <t>Utility Allowance Detail</t>
  </si>
  <si>
    <t>Utility/Service</t>
  </si>
  <si>
    <t>Payee</t>
  </si>
  <si>
    <t>Air Conditioning</t>
  </si>
  <si>
    <t>UA Calculation Method</t>
  </si>
  <si>
    <t>Energy Consumption Model (Engineer Model)</t>
  </si>
  <si>
    <t>UA through Rural Development (RD Assisted Units)</t>
  </si>
  <si>
    <t>Section 8 UA through local housing authority (PBV Units)</t>
  </si>
  <si>
    <t>HUD Approved UA (project based rental assistance units)</t>
  </si>
  <si>
    <t xml:space="preserve">Other: </t>
  </si>
  <si>
    <t xml:space="preserve">UA Unit Type: </t>
  </si>
  <si>
    <t>60% AMI Helper</t>
  </si>
  <si>
    <t>BR Size</t>
  </si>
  <si>
    <t>Helpful Links</t>
  </si>
  <si>
    <t>MaineHousing Rent Charts</t>
  </si>
  <si>
    <t>LIHTC Allocating Agency Utility Allowance</t>
  </si>
  <si>
    <t>Actual TE Bonds</t>
  </si>
  <si>
    <t>Balance at PLC</t>
  </si>
  <si>
    <t>MH Determined SLIHTC</t>
  </si>
  <si>
    <t>Value</t>
  </si>
  <si>
    <t>Field Name</t>
  </si>
  <si>
    <t>Project Developer name</t>
  </si>
  <si>
    <t>Project Developer email</t>
  </si>
  <si>
    <t>Project Developer phone number</t>
  </si>
  <si>
    <t>Architect name</t>
  </si>
  <si>
    <t>Architect email</t>
  </si>
  <si>
    <t>Architect phone number</t>
  </si>
  <si>
    <t>Attorney name</t>
  </si>
  <si>
    <t>Attorney email</t>
  </si>
  <si>
    <t>Attorney phone number</t>
  </si>
  <si>
    <t>Accountant name</t>
  </si>
  <si>
    <t>Accountant email</t>
  </si>
  <si>
    <t>Accountant phone number</t>
  </si>
  <si>
    <t>Tax Professional name</t>
  </si>
  <si>
    <t>Tax Professional email</t>
  </si>
  <si>
    <t>Tax Professional phone number</t>
  </si>
  <si>
    <t>General Contractor name</t>
  </si>
  <si>
    <t>General Contractor email</t>
  </si>
  <si>
    <t>General Contractor phone number</t>
  </si>
  <si>
    <t>Construction Lender name</t>
  </si>
  <si>
    <t>Construction Lender email</t>
  </si>
  <si>
    <t>Construction Lender phone number</t>
  </si>
  <si>
    <t>Development Consultant name</t>
  </si>
  <si>
    <t>Development Consultant email</t>
  </si>
  <si>
    <t>Development Consultant phone number</t>
  </si>
  <si>
    <t>Service Provider name</t>
  </si>
  <si>
    <t>Service Provider email</t>
  </si>
  <si>
    <t>Service Provider phone number</t>
  </si>
  <si>
    <t>Management Agent name</t>
  </si>
  <si>
    <t>Management Agent email</t>
  </si>
  <si>
    <t>Management Agent phone number</t>
  </si>
  <si>
    <t>Applicant  Information</t>
  </si>
  <si>
    <t>Sheet</t>
  </si>
  <si>
    <t>Deal Entity Role</t>
  </si>
  <si>
    <t>Company/Individual</t>
  </si>
  <si>
    <t>Email Address 1</t>
  </si>
  <si>
    <t>Direct Phone</t>
  </si>
  <si>
    <t>Role</t>
  </si>
  <si>
    <t>MaineHousing Permanent Loan Fees</t>
  </si>
  <si>
    <t>MH Underwriting</t>
  </si>
  <si>
    <t>HC Site Improvements</t>
  </si>
  <si>
    <t>HC General Req</t>
  </si>
  <si>
    <t>HC Profit</t>
  </si>
  <si>
    <t>HC Bonds</t>
  </si>
  <si>
    <t>HC - Contingency</t>
  </si>
  <si>
    <t>.</t>
  </si>
  <si>
    <t>SC Site Eng Survey</t>
  </si>
  <si>
    <t>SC Design Architect</t>
  </si>
  <si>
    <t>SC Legal</t>
  </si>
  <si>
    <t>SC Title Recording</t>
  </si>
  <si>
    <t>SC Accounting</t>
  </si>
  <si>
    <t>SC Taxes During Construction</t>
  </si>
  <si>
    <t>SC Builders Insurance</t>
  </si>
  <si>
    <t>SC Building Permits</t>
  </si>
  <si>
    <t>SC Construction Interest</t>
  </si>
  <si>
    <t>SC Appraisal</t>
  </si>
  <si>
    <t>SC Environmental</t>
  </si>
  <si>
    <t>SC Tax Credit Fee</t>
  </si>
  <si>
    <t>SC Tenant Relocation</t>
  </si>
  <si>
    <t>SC Furn Fixt Equip</t>
  </si>
  <si>
    <t>SC Land Acquisition</t>
  </si>
  <si>
    <t>SC Consultants</t>
  </si>
  <si>
    <t>* prefilled sources are for demonstration purposes only 
and can be replaced by actual funding sources</t>
  </si>
  <si>
    <t>Arch Engin Design Fee</t>
  </si>
  <si>
    <t>Title and Recording</t>
  </si>
  <si>
    <t>Taxes Construction</t>
  </si>
  <si>
    <t>Insurance Construction</t>
  </si>
  <si>
    <t>Constr Interest</t>
  </si>
  <si>
    <t>Perm Loan Fee</t>
  </si>
  <si>
    <t>Other Perm Loan Fees</t>
  </si>
  <si>
    <t>Market Study</t>
  </si>
  <si>
    <t>Appraisal Fee</t>
  </si>
  <si>
    <t>Tax Credit Fee</t>
  </si>
  <si>
    <t>Land Acq Cost</t>
  </si>
  <si>
    <t>HC Structures</t>
  </si>
  <si>
    <t>SC Acquisition</t>
  </si>
  <si>
    <t>SC RR Funding</t>
  </si>
  <si>
    <t>SC Taxes</t>
  </si>
  <si>
    <t>SC Market Study</t>
  </si>
  <si>
    <t>SC Reserves</t>
  </si>
  <si>
    <t>SC HFA Finance Fee</t>
  </si>
  <si>
    <t>SC Development Mgmt</t>
  </si>
  <si>
    <t>Deal Type:</t>
  </si>
  <si>
    <t>Field</t>
  </si>
  <si>
    <t>Permits</t>
  </si>
  <si>
    <t>Project Costs and Basis</t>
  </si>
  <si>
    <t>Architect/Design &amp; Inspec</t>
  </si>
  <si>
    <t>Project Legal</t>
  </si>
  <si>
    <t>Project Audit/Accounting</t>
  </si>
  <si>
    <t>Const. Period Taxes</t>
  </si>
  <si>
    <t>Const. Period Insurance</t>
  </si>
  <si>
    <t>Const Loan Orig. Fee</t>
  </si>
  <si>
    <t>Const Loan Interest</t>
  </si>
  <si>
    <t>Conventional Lender Permanent Loan Fees</t>
  </si>
  <si>
    <t>Property Appraisal</t>
  </si>
  <si>
    <t>LIHTC Process &amp; Monitoring Fees</t>
  </si>
  <si>
    <t>Relocation</t>
  </si>
  <si>
    <t>F, F, &amp; E</t>
  </si>
  <si>
    <t>Existing Reserve Account Balances</t>
  </si>
  <si>
    <t>Legal associated w/ acquisition</t>
  </si>
  <si>
    <t>Consultant Fees</t>
  </si>
  <si>
    <t>TC Development Costs</t>
  </si>
  <si>
    <t>Mapping</t>
  </si>
  <si>
    <t>4% Construction</t>
  </si>
  <si>
    <t>9% Construction</t>
  </si>
  <si>
    <t>Mapped to Field</t>
  </si>
  <si>
    <t>Building Permit</t>
  </si>
  <si>
    <t>Oper Reserve</t>
  </si>
  <si>
    <t>Developer Fees</t>
  </si>
  <si>
    <t>Addl Cost 3</t>
  </si>
  <si>
    <t>Addl Cost 5</t>
  </si>
  <si>
    <t>Addl Cost 4</t>
  </si>
  <si>
    <t>Addl Cost 6</t>
  </si>
  <si>
    <t>Addl Cost 7</t>
  </si>
  <si>
    <t>Addl Cost 8</t>
  </si>
  <si>
    <t>Addl Cost 9</t>
  </si>
  <si>
    <t>Addl Cost 10</t>
  </si>
  <si>
    <t>Addl Cost 11</t>
  </si>
  <si>
    <t>Addl Cost 12</t>
  </si>
  <si>
    <t>Soft Costs Other</t>
  </si>
  <si>
    <t>Financing Fees Other</t>
  </si>
  <si>
    <t>Misc. Cost and Exp Other</t>
  </si>
  <si>
    <t>Acq Other</t>
  </si>
  <si>
    <t>Finance Other</t>
  </si>
  <si>
    <t>Misc Other</t>
  </si>
  <si>
    <t>Fee and Reserves Other</t>
  </si>
  <si>
    <t>Company</t>
  </si>
  <si>
    <t>AM Special Activity</t>
  </si>
  <si>
    <t>Auditor</t>
  </si>
  <si>
    <t>Business Relationship</t>
  </si>
  <si>
    <t>Construction Inspector</t>
  </si>
  <si>
    <t>Insurance Broker</t>
  </si>
  <si>
    <t>Insurance Carrier</t>
  </si>
  <si>
    <t>Landlord</t>
  </si>
  <si>
    <t>Law Firm</t>
  </si>
  <si>
    <t>Mortgagor</t>
  </si>
  <si>
    <t>Partner</t>
  </si>
  <si>
    <t>Site Management</t>
  </si>
  <si>
    <t>Sponsor</t>
  </si>
  <si>
    <t>Syndicator</t>
  </si>
  <si>
    <t>Title Company</t>
  </si>
  <si>
    <t>Developer</t>
  </si>
  <si>
    <t>Owner</t>
  </si>
  <si>
    <t>Lender</t>
  </si>
  <si>
    <t>Management Entity</t>
  </si>
  <si>
    <t>Mortgage Banker</t>
  </si>
  <si>
    <t>PL Source Selection</t>
  </si>
  <si>
    <t>Lien</t>
  </si>
  <si>
    <t>Sequence</t>
  </si>
  <si>
    <t>Funding Source</t>
  </si>
  <si>
    <t>Instrument Type</t>
  </si>
  <si>
    <t>Program Type</t>
  </si>
  <si>
    <t>Product Type</t>
  </si>
  <si>
    <t>Source Name</t>
  </si>
  <si>
    <t>Financing Type</t>
  </si>
  <si>
    <t>Loan Term</t>
  </si>
  <si>
    <t>Number of Bedrooms</t>
  </si>
  <si>
    <t>Collectible Rent</t>
  </si>
  <si>
    <t>Project Income &amp; UA</t>
  </si>
  <si>
    <t>Unit Mix Ami Percent</t>
  </si>
  <si>
    <t>Num Units</t>
  </si>
  <si>
    <t>Base Rent</t>
  </si>
  <si>
    <t>Efficiency</t>
  </si>
  <si>
    <t>SRO</t>
  </si>
  <si>
    <t>Bed</t>
  </si>
  <si>
    <t>1BR, 1BA</t>
  </si>
  <si>
    <t>1BR, 1.5BA</t>
  </si>
  <si>
    <t>1BR, 2BA</t>
  </si>
  <si>
    <t>2BR, 1BA</t>
  </si>
  <si>
    <t>2BR, 1.5BA</t>
  </si>
  <si>
    <t>2BR, 2BA</t>
  </si>
  <si>
    <t>2BR, 2.5BA</t>
  </si>
  <si>
    <t>2BR, 3BA</t>
  </si>
  <si>
    <t>2BR, 3.5BA</t>
  </si>
  <si>
    <t>3BR, 1BA</t>
  </si>
  <si>
    <t>3BR, 1.5BA</t>
  </si>
  <si>
    <t>3BR, 2BA</t>
  </si>
  <si>
    <t>3BR, 2.5BA</t>
  </si>
  <si>
    <t>3BR, 3BA</t>
  </si>
  <si>
    <t>3BR, 3.5BA</t>
  </si>
  <si>
    <t>4BR, 1BA</t>
  </si>
  <si>
    <t>4BR, 1.5BA</t>
  </si>
  <si>
    <t>4BR, 2BA</t>
  </si>
  <si>
    <t>4BR, 2.5BA</t>
  </si>
  <si>
    <t>4BR, 3.5BA</t>
  </si>
  <si>
    <t>4BR, 3BA</t>
  </si>
  <si>
    <t>4BR, 4BA</t>
  </si>
  <si>
    <t>5BR, 1BA</t>
  </si>
  <si>
    <t>5BR, 1.5BA</t>
  </si>
  <si>
    <t>5BR, 2BA</t>
  </si>
  <si>
    <t>5BR, 2.5BA</t>
  </si>
  <si>
    <t>5BR, 3.5BA</t>
  </si>
  <si>
    <t>5BR, 3BA</t>
  </si>
  <si>
    <t>6BR or More</t>
  </si>
  <si>
    <t>80%</t>
  </si>
  <si>
    <t>90%</t>
  </si>
  <si>
    <t>110%</t>
  </si>
  <si>
    <t>112%</t>
  </si>
  <si>
    <t>120%</t>
  </si>
  <si>
    <t>130%</t>
  </si>
  <si>
    <t>TC Unit Mix Type</t>
  </si>
  <si>
    <t>Income Target</t>
  </si>
  <si>
    <t>Monthly Rent Per Unit</t>
  </si>
  <si>
    <t>1 Bedroom</t>
  </si>
  <si>
    <t>2 Bedroom</t>
  </si>
  <si>
    <t>3 Bedroom</t>
  </si>
  <si>
    <t>4 Bedroom</t>
  </si>
  <si>
    <t>5 Bedroom</t>
  </si>
  <si>
    <t>Market</t>
  </si>
  <si>
    <t>Management Fees</t>
  </si>
  <si>
    <t>Management Charges</t>
  </si>
  <si>
    <t>Marketing Expenses</t>
  </si>
  <si>
    <t>Legal Expenses</t>
  </si>
  <si>
    <t>Auditing Expenses</t>
  </si>
  <si>
    <t>Janitorial Payroll</t>
  </si>
  <si>
    <t>Janitorial Supplies and Equipment</t>
  </si>
  <si>
    <t>Janitorial Contractual Services</t>
  </si>
  <si>
    <t>Fuel and Gas</t>
  </si>
  <si>
    <t>Electricity</t>
  </si>
  <si>
    <t>Water and Sewer</t>
  </si>
  <si>
    <t>Garbage and Trash Removal</t>
  </si>
  <si>
    <t>Vehicle and Equipment Expenses</t>
  </si>
  <si>
    <t>Grounds Maintenance Payroll</t>
  </si>
  <si>
    <t>Grounds Tools and Supplies</t>
  </si>
  <si>
    <t>Grounds Contractual Services</t>
  </si>
  <si>
    <t>Building Maintenance Payroll</t>
  </si>
  <si>
    <t>Building Tools and Supplies</t>
  </si>
  <si>
    <t>Building Contractual Services</t>
  </si>
  <si>
    <t>Building Systems Maintenance</t>
  </si>
  <si>
    <t>Property Taxes</t>
  </si>
  <si>
    <t>Property and Liability Insurance</t>
  </si>
  <si>
    <t>Tenant Service Expenses</t>
  </si>
  <si>
    <t>Annual Per Unit</t>
  </si>
  <si>
    <t>Admin Mgt Fee</t>
  </si>
  <si>
    <t>Admin Adv Mrktg</t>
  </si>
  <si>
    <t>Admin Legal</t>
  </si>
  <si>
    <t>Admin Auditing</t>
  </si>
  <si>
    <t>Admin Misc</t>
  </si>
  <si>
    <t>Oper Janitor Cleaning Payroll</t>
  </si>
  <si>
    <t>Oper Janitor Cleaning Supplies</t>
  </si>
  <si>
    <t>Oper Janitor Cleaning Contract</t>
  </si>
  <si>
    <t>Utilities Fuel Oil</t>
  </si>
  <si>
    <t>Utilities Electricity</t>
  </si>
  <si>
    <t>Utilities Water</t>
  </si>
  <si>
    <t>Oper Trash Removal</t>
  </si>
  <si>
    <t>Oper Misc</t>
  </si>
  <si>
    <t>Oper Grounds Payroll</t>
  </si>
  <si>
    <t>Oper Grounds Supplies</t>
  </si>
  <si>
    <t>Oper Grounds Contract</t>
  </si>
  <si>
    <t>Oper Maint Repair Payroll</t>
  </si>
  <si>
    <t>Oper Elevator Maint Contract</t>
  </si>
  <si>
    <t>Oper Heat Cool Maint Repair</t>
  </si>
  <si>
    <t>TI Prop Liability Insurance</t>
  </si>
  <si>
    <t>TI Real Estate Taxes</t>
  </si>
  <si>
    <t>Oper Repairs Material</t>
  </si>
  <si>
    <t>Replacement Reserves</t>
  </si>
  <si>
    <t>Annual EGI Low Income Units</t>
  </si>
  <si>
    <t>Cell</t>
  </si>
  <si>
    <t>T86</t>
  </si>
  <si>
    <t>T90</t>
  </si>
  <si>
    <t>B78</t>
  </si>
  <si>
    <t>B79</t>
  </si>
  <si>
    <t>B80</t>
  </si>
  <si>
    <t>C83</t>
  </si>
  <si>
    <t>B81</t>
  </si>
  <si>
    <t>C84</t>
  </si>
  <si>
    <t>C85</t>
  </si>
  <si>
    <t>C86</t>
  </si>
  <si>
    <t>C88</t>
  </si>
  <si>
    <t>C89</t>
  </si>
  <si>
    <t>C91</t>
  </si>
  <si>
    <t>C92</t>
  </si>
  <si>
    <t>C93</t>
  </si>
  <si>
    <t>C94</t>
  </si>
  <si>
    <t>C95</t>
  </si>
  <si>
    <t>C96</t>
  </si>
  <si>
    <t>C97</t>
  </si>
  <si>
    <t>C98</t>
  </si>
  <si>
    <t>C99</t>
  </si>
  <si>
    <t>TBD - Subsidy Bucket:</t>
  </si>
  <si>
    <t>TBD - External Bucket:</t>
  </si>
  <si>
    <t>TBD - Construction 4% Bucket:</t>
  </si>
  <si>
    <t>Permanent</t>
  </si>
  <si>
    <t>Subsidized Funding</t>
  </si>
  <si>
    <t>County</t>
  </si>
  <si>
    <t>Existing Units</t>
  </si>
  <si>
    <t>New Construction Units</t>
  </si>
  <si>
    <t>Parking Space Y/N</t>
  </si>
  <si>
    <t>Minimum Set-Aside</t>
  </si>
  <si>
    <t>Site Control</t>
  </si>
  <si>
    <t>Age of Building</t>
  </si>
  <si>
    <t>Owner Occupied Y/N</t>
  </si>
  <si>
    <t>Commercial Space Y/N</t>
  </si>
  <si>
    <t>Relocation Y/N</t>
  </si>
  <si>
    <t>Number of Existing Parking Spaces</t>
  </si>
  <si>
    <t>Number of Existing Market Units</t>
  </si>
  <si>
    <t>Number of Existing Low Income Units</t>
  </si>
  <si>
    <t>Number of Buildings Acquired</t>
  </si>
  <si>
    <t>Mapped to Object</t>
  </si>
  <si>
    <t>DEV Property</t>
  </si>
  <si>
    <t>Address1</t>
  </si>
  <si>
    <t>City</t>
  </si>
  <si>
    <t>DEV Deal</t>
  </si>
  <si>
    <t>DEV Deal Type</t>
  </si>
  <si>
    <t>Unknown (ProLink Data Migration)</t>
  </si>
  <si>
    <t>Building Type</t>
  </si>
  <si>
    <t>Boarding</t>
  </si>
  <si>
    <t>Double-loaded Corridor</t>
  </si>
  <si>
    <t>Duplex</t>
  </si>
  <si>
    <t>Multi-story</t>
  </si>
  <si>
    <t>Single Room Occupancy</t>
  </si>
  <si>
    <t>Single Story</t>
  </si>
  <si>
    <t>Townhouse</t>
  </si>
  <si>
    <t>Year Built</t>
  </si>
  <si>
    <t>Commercial Space?</t>
  </si>
  <si>
    <t>TC Property</t>
  </si>
  <si>
    <t>Census Tract</t>
  </si>
  <si>
    <t>Site Control Expiration Date</t>
  </si>
  <si>
    <t>Building Allocation Type</t>
  </si>
  <si>
    <t>Site Control Type</t>
  </si>
  <si>
    <t>Site Control Exp Date</t>
  </si>
  <si>
    <t>DEV Income Limit</t>
  </si>
  <si>
    <t>Construction Building Type</t>
  </si>
  <si>
    <t>Source Number</t>
  </si>
  <si>
    <t>Additional Prj Cost Information</t>
  </si>
  <si>
    <t>Cost Type</t>
  </si>
  <si>
    <t>Other Soft Costs</t>
  </si>
  <si>
    <t>Miscellaneous Costs</t>
  </si>
  <si>
    <t>Non-HTC Eligible</t>
  </si>
  <si>
    <t>Other Financing Fees</t>
  </si>
  <si>
    <t>Concat Cost Names</t>
  </si>
  <si>
    <t>Direct Loan</t>
  </si>
  <si>
    <t>Participating Loan</t>
  </si>
  <si>
    <t>Subsidy Loan</t>
  </si>
  <si>
    <t>Third Party Loan</t>
  </si>
  <si>
    <t>LIHTC Equity</t>
  </si>
  <si>
    <t>HTC Equity</t>
  </si>
  <si>
    <t>State LIHTC Equity</t>
  </si>
  <si>
    <t>Subsidy Program</t>
  </si>
  <si>
    <t>Type of Request</t>
  </si>
  <si>
    <t>SEE BELOW FOR MAPPING</t>
  </si>
  <si>
    <t>Percent of Units</t>
  </si>
  <si>
    <t>Count of Units</t>
  </si>
  <si>
    <t>Percent of Area Median Income</t>
  </si>
  <si>
    <t>Restriction Type</t>
  </si>
  <si>
    <t>Taxable</t>
  </si>
  <si>
    <t>Tax Exempt</t>
  </si>
  <si>
    <t>Tax Credit</t>
  </si>
  <si>
    <t>HOME</t>
  </si>
  <si>
    <t>Project Information</t>
  </si>
  <si>
    <t>Year 1 DCR</t>
  </si>
  <si>
    <t>Year 15 DCR</t>
  </si>
  <si>
    <t>Year 2 DCR</t>
  </si>
  <si>
    <t>Year 1 Debt Coverage Ratio</t>
  </si>
  <si>
    <t>Year 2 Debt Coverage Ratio</t>
  </si>
  <si>
    <t>Year 15 Debt Coverage Ratio</t>
  </si>
  <si>
    <t xml:space="preserve">  Office Salaries</t>
  </si>
  <si>
    <t xml:space="preserve">  Site Office Supplies</t>
  </si>
  <si>
    <t xml:space="preserve">  Site Manager or Superintendent Salaries</t>
  </si>
  <si>
    <t xml:space="preserve">  Training Costs for Frontline Staff</t>
  </si>
  <si>
    <t xml:space="preserve">  Site Internet, Telephone and Answering Services</t>
  </si>
  <si>
    <t xml:space="preserve">  Gas</t>
  </si>
  <si>
    <t xml:space="preserve">  Water</t>
  </si>
  <si>
    <t xml:space="preserve">  Sewer</t>
  </si>
  <si>
    <t xml:space="preserve">  Management Charges (Addendum A)</t>
  </si>
  <si>
    <t xml:space="preserve">  Oil</t>
  </si>
  <si>
    <t>ME Tax Credit Capital</t>
  </si>
  <si>
    <t>Maine Historic Tax Credit</t>
  </si>
  <si>
    <t>Fed Tax Credit Capital</t>
  </si>
  <si>
    <t>SC Other 5</t>
  </si>
  <si>
    <t>SC Other 1</t>
  </si>
  <si>
    <t>SC Other 2</t>
  </si>
  <si>
    <t>SC Other 6</t>
  </si>
  <si>
    <t>SC Other 7</t>
  </si>
  <si>
    <t>SC Other 3</t>
  </si>
  <si>
    <t>SC Other 4</t>
  </si>
  <si>
    <t>SC Other 8</t>
  </si>
  <si>
    <t>SC Mrkt Gen Lease Up</t>
  </si>
  <si>
    <t>SC Org Costs</t>
  </si>
  <si>
    <t>SC Other 9</t>
  </si>
  <si>
    <t>Engineering</t>
  </si>
  <si>
    <t>Legal Fees for Closing</t>
  </si>
  <si>
    <t>Cost Cert Fee</t>
  </si>
  <si>
    <t>Environmental?</t>
  </si>
  <si>
    <t>Existing Improvement Cost</t>
  </si>
  <si>
    <t>SUMMED IN BELOW</t>
  </si>
  <si>
    <t xml:space="preserve">  Property Bookkeeping Fees / Accounting Services</t>
  </si>
  <si>
    <t>Addl Cost 13</t>
  </si>
  <si>
    <t>Addl Cost 14</t>
  </si>
  <si>
    <t>Addl Cost 15</t>
  </si>
  <si>
    <t>Addl Cost 16</t>
  </si>
  <si>
    <t>Operating Budget</t>
  </si>
  <si>
    <t>Additional Op Ex Information</t>
  </si>
  <si>
    <t>Misc Ground Maintenance</t>
  </si>
  <si>
    <t>Misc Building Maintenance</t>
  </si>
  <si>
    <t>Total Units from MH Underwriting:</t>
  </si>
  <si>
    <t>Per Unit Calc</t>
  </si>
  <si>
    <t>TBD - Interest Bearing (Taxable/Exempt) Bucket</t>
  </si>
  <si>
    <t>Attorney (developer)</t>
  </si>
  <si>
    <t>Attorney (tax)</t>
  </si>
  <si>
    <t>Limit Number</t>
  </si>
  <si>
    <t>Annual Total</t>
  </si>
  <si>
    <t>Resident Service Coordinators</t>
  </si>
  <si>
    <t>Developer Profit and Developer Overhead</t>
  </si>
  <si>
    <t>Attorney (investor)</t>
  </si>
  <si>
    <t>Borrower</t>
  </si>
  <si>
    <t>Chief Financial Officer</t>
  </si>
  <si>
    <t>Construction Manager</t>
  </si>
  <si>
    <t>Consultant</t>
  </si>
  <si>
    <t>Contact</t>
  </si>
  <si>
    <t>Engineer, Civil</t>
  </si>
  <si>
    <t>Engineer, Structural</t>
  </si>
  <si>
    <t>Financial Management</t>
  </si>
  <si>
    <t>Historic Preservation Consultant</t>
  </si>
  <si>
    <t>HUD Manager</t>
  </si>
  <si>
    <t>Inspections Mailbox</t>
  </si>
  <si>
    <t>Insurer</t>
  </si>
  <si>
    <t>Manager</t>
  </si>
  <si>
    <t>Mortgagor Contact</t>
  </si>
  <si>
    <t>Owner Company</t>
  </si>
  <si>
    <t>Physical Plant Contact</t>
  </si>
  <si>
    <t>RD Project Manager</t>
  </si>
  <si>
    <t>Regional Manager</t>
  </si>
  <si>
    <t>Rental Agent</t>
  </si>
  <si>
    <t>Senior Property Manager</t>
  </si>
  <si>
    <t>Site Manager</t>
  </si>
  <si>
    <t>State/Federal Contact Agency</t>
  </si>
  <si>
    <t>TRACs (HAP)</t>
  </si>
  <si>
    <t>Other Admin Expenses</t>
  </si>
  <si>
    <t>Other Oper Expenses</t>
  </si>
  <si>
    <t>Misc Grounds Maint</t>
  </si>
  <si>
    <t>Misc Building Maint</t>
  </si>
  <si>
    <t>Other Gen Expenses</t>
  </si>
  <si>
    <t>Commercial Expense</t>
  </si>
  <si>
    <t>9% Deal</t>
  </si>
  <si>
    <t>Home - Low</t>
  </si>
  <si>
    <t>Home - High</t>
  </si>
  <si>
    <t>Project Completion Sch</t>
  </si>
  <si>
    <t>50 Percent</t>
  </si>
  <si>
    <t>90 Percent</t>
  </si>
  <si>
    <t>100 Percent</t>
  </si>
  <si>
    <t>TDC per Unit</t>
  </si>
  <si>
    <t>Admin Mgt Salaries</t>
  </si>
  <si>
    <t>Oper Decorating Payroll Contract</t>
  </si>
  <si>
    <t>TI Other Insurance</t>
  </si>
  <si>
    <t>Comment</t>
  </si>
  <si>
    <t>Sums up all Oper Misc line items.</t>
  </si>
  <si>
    <t>50%</t>
  </si>
  <si>
    <t>60%</t>
  </si>
  <si>
    <t>Option Contract</t>
  </si>
  <si>
    <t>Construction Loan Closing</t>
  </si>
  <si>
    <t>Construction Start</t>
  </si>
  <si>
    <t>Completion of Construction</t>
  </si>
  <si>
    <t xml:space="preserve">Initial Lease Up </t>
  </si>
  <si>
    <t>Sustained Occupancy (95)</t>
  </si>
  <si>
    <t>DEV User Defined Fields</t>
  </si>
  <si>
    <t>Office Salaries</t>
  </si>
  <si>
    <t>Site Office Supplies</t>
  </si>
  <si>
    <t>Site Manager or Superintendent Salaries</t>
  </si>
  <si>
    <t>Property Bookkeeping Fees / Accounting Services</t>
  </si>
  <si>
    <t>Training Costs for Frontline Staff</t>
  </si>
  <si>
    <t>Site Internet, Telephone and Answering Services</t>
  </si>
  <si>
    <t>Oil</t>
  </si>
  <si>
    <t>Gas</t>
  </si>
  <si>
    <t>Description</t>
  </si>
  <si>
    <t>DEV Budget Initial UDF</t>
  </si>
  <si>
    <t>TDC per Bedroom</t>
  </si>
  <si>
    <t>TDC Project Cap</t>
  </si>
  <si>
    <t>ProLink Mapping Tab</t>
  </si>
  <si>
    <t>Deal Name:</t>
  </si>
  <si>
    <t>Section 1</t>
  </si>
  <si>
    <t>ProLink Mapping</t>
  </si>
  <si>
    <t>Pro Forma Development Budget</t>
  </si>
  <si>
    <t>DEV Budget</t>
  </si>
  <si>
    <t>DEV Proxity Entities</t>
  </si>
  <si>
    <t>TC Proxity Entities</t>
  </si>
  <si>
    <t>Proxy Entity</t>
  </si>
  <si>
    <t>Section 2</t>
  </si>
  <si>
    <t>Developer Overhead Included below</t>
  </si>
  <si>
    <t>Section 3</t>
  </si>
  <si>
    <t>TOTAL CONSTRUCTION</t>
  </si>
  <si>
    <t>Line Item</t>
  </si>
  <si>
    <t>Total Soft Costs</t>
  </si>
  <si>
    <t>Total Financing Fees</t>
  </si>
  <si>
    <t>Total Miscellaneous</t>
  </si>
  <si>
    <t>Total Acquisition</t>
  </si>
  <si>
    <t>Total Reserves</t>
  </si>
  <si>
    <t>Total Developer Fee</t>
  </si>
  <si>
    <t>Total Syndication</t>
  </si>
  <si>
    <t>Section 4</t>
  </si>
  <si>
    <t>Flow of Funds - Sources</t>
  </si>
  <si>
    <t>DEV Funding Sources</t>
  </si>
  <si>
    <t>TC Property Financing</t>
  </si>
  <si>
    <t>DEV Budget UDF</t>
  </si>
  <si>
    <t>Section 5</t>
  </si>
  <si>
    <t>Additional Project Cost Information</t>
  </si>
  <si>
    <t>TC Current Stage UDF</t>
  </si>
  <si>
    <t>DEV UDF Name</t>
  </si>
  <si>
    <t>DEV UDF Amount</t>
  </si>
  <si>
    <t>TC UDF Name</t>
  </si>
  <si>
    <t>TC UDF Amount</t>
  </si>
  <si>
    <t>Section 6</t>
  </si>
  <si>
    <t>DEV Unit Mix</t>
  </si>
  <si>
    <t>TC Unit Mix</t>
  </si>
  <si>
    <t>TC Num Units</t>
  </si>
  <si>
    <t>Section 7</t>
  </si>
  <si>
    <t>Operating Income and Expenses</t>
  </si>
  <si>
    <t>Total Administrative Expenses:</t>
  </si>
  <si>
    <t>Management Charges (Addendum A)</t>
  </si>
  <si>
    <t>(Based on MH Underwriting Tab)</t>
  </si>
  <si>
    <t>Total Operating Expenses</t>
  </si>
  <si>
    <t>Total Maintenance Expenses</t>
  </si>
  <si>
    <t>Total General Expenses</t>
  </si>
  <si>
    <t>Annual Value</t>
  </si>
  <si>
    <t>Per Unit Value</t>
  </si>
  <si>
    <t>DEV Deal UDF</t>
  </si>
  <si>
    <t>TC Current Stage - Feasibility</t>
  </si>
  <si>
    <t>Section 8</t>
  </si>
  <si>
    <t>(Based on Operating Budget Tab)</t>
  </si>
  <si>
    <t>General Expenses</t>
  </si>
  <si>
    <t>Section 9</t>
  </si>
  <si>
    <t>Section 10</t>
  </si>
  <si>
    <t>TC Current Stage - Main</t>
  </si>
  <si>
    <t>DEV Income Limit Information</t>
  </si>
  <si>
    <t>Section 11</t>
  </si>
  <si>
    <t>Subsidy Type</t>
  </si>
  <si>
    <t>DCR (Based on MH Underwriting Tab)</t>
  </si>
  <si>
    <t>Section 12</t>
  </si>
  <si>
    <t>Section 13</t>
  </si>
  <si>
    <t>DCR</t>
  </si>
  <si>
    <t>40%</t>
  </si>
  <si>
    <t>MH Project Number:</t>
  </si>
  <si>
    <t>Unit Structures - New</t>
  </si>
  <si>
    <t>Unit Structures - Rehab</t>
  </si>
  <si>
    <t>30%</t>
  </si>
  <si>
    <t>Tax Credit Average Income</t>
  </si>
  <si>
    <t>Purchase &amp; Sale Agreement</t>
  </si>
  <si>
    <t/>
  </si>
  <si>
    <t>Monthly Unit Rent in Helper</t>
  </si>
  <si>
    <t xml:space="preserve">2% of the interest bearing debt </t>
  </si>
  <si>
    <t>or</t>
  </si>
  <si>
    <t>1.75% of the construction loan</t>
  </si>
  <si>
    <t>Whichever is greater</t>
  </si>
  <si>
    <t>Total Costs</t>
  </si>
  <si>
    <t>Entity Name</t>
  </si>
  <si>
    <t>Contact Name</t>
  </si>
  <si>
    <t>County (Jurisdiction)</t>
  </si>
  <si>
    <t>Applicant Name</t>
  </si>
  <si>
    <t>Applicant Email</t>
  </si>
  <si>
    <t>Applicant Telephone Number</t>
  </si>
  <si>
    <t>Applicant Taxpayer ID Number</t>
  </si>
  <si>
    <t>Proxity Entity 1</t>
  </si>
  <si>
    <t>Proxity Entity 2</t>
  </si>
  <si>
    <t>Proxity Entity 3</t>
  </si>
  <si>
    <t>Proxity Entity 4</t>
  </si>
  <si>
    <t>Proxity Entity 5</t>
  </si>
  <si>
    <t>Proxity Entity 6</t>
  </si>
  <si>
    <t>Proxity Entity 7</t>
  </si>
  <si>
    <t>Proxity Entity 8</t>
  </si>
  <si>
    <t>Proxity Entity 9</t>
  </si>
  <si>
    <t>Proxity Entity 10</t>
  </si>
  <si>
    <t>Proxity Entity 11</t>
  </si>
  <si>
    <t>Tax ID Number</t>
  </si>
  <si>
    <t>Cumberland</t>
  </si>
  <si>
    <t>CLC Uses</t>
  </si>
  <si>
    <t>Source Name CLC</t>
  </si>
  <si>
    <t>Source Name PLC</t>
  </si>
  <si>
    <t>Not Applicable</t>
  </si>
  <si>
    <t>Androscoggin</t>
  </si>
  <si>
    <t>Aroostook</t>
  </si>
  <si>
    <t>Franklin</t>
  </si>
  <si>
    <t>Hancock</t>
  </si>
  <si>
    <t>Kennebec</t>
  </si>
  <si>
    <t>Knox</t>
  </si>
  <si>
    <t>Lincoln</t>
  </si>
  <si>
    <t>Oxford</t>
  </si>
  <si>
    <t>Penobscot</t>
  </si>
  <si>
    <t>Piscataquis</t>
  </si>
  <si>
    <t>Sagadahoc</t>
  </si>
  <si>
    <t>Somerset</t>
  </si>
  <si>
    <t>Waldo</t>
  </si>
  <si>
    <t>Washington</t>
  </si>
  <si>
    <t>York</t>
  </si>
  <si>
    <t>BHR</t>
  </si>
  <si>
    <t>CDBG-CV</t>
  </si>
  <si>
    <t>CROP</t>
  </si>
  <si>
    <t>Emergency Housing Relief Fund</t>
  </si>
  <si>
    <t>ESG-CV</t>
  </si>
  <si>
    <t>External - Permanent</t>
  </si>
  <si>
    <t>FARMERS HOME/FHRAP</t>
  </si>
  <si>
    <t>Federal Equity</t>
  </si>
  <si>
    <t>Gen Fd - FHLB HHNE</t>
  </si>
  <si>
    <t>General Funds</t>
  </si>
  <si>
    <t>HOME ARP</t>
  </si>
  <si>
    <t>LAP</t>
  </si>
  <si>
    <t>MEHER Taxable</t>
  </si>
  <si>
    <t>MEHER Tax-Exempt</t>
  </si>
  <si>
    <t>MF - STATE ARP</t>
  </si>
  <si>
    <t>MHF</t>
  </si>
  <si>
    <t>MLA</t>
  </si>
  <si>
    <t>MPP Recoveries of Principal</t>
  </si>
  <si>
    <t>MPP Taxable</t>
  </si>
  <si>
    <t>MPP Tax-Exempt</t>
  </si>
  <si>
    <t>MRLF</t>
  </si>
  <si>
    <t>Nat'l Housing Trust Fund</t>
  </si>
  <si>
    <t xml:space="preserve">Neighborhood Stabilization </t>
  </si>
  <si>
    <t>Pre-Development Loan</t>
  </si>
  <si>
    <t>Recovery Housing Program</t>
  </si>
  <si>
    <t>Senior Housing GO Bonds</t>
  </si>
  <si>
    <t>SF - STATE ARP</t>
  </si>
  <si>
    <t>State Equity</t>
  </si>
  <si>
    <t>State GO (MHF,MRLF,LAP,CROP)</t>
  </si>
  <si>
    <t>State GO Bond - Inactive</t>
  </si>
  <si>
    <t>State Home</t>
  </si>
  <si>
    <t>TBD - Construction</t>
  </si>
  <si>
    <t>TBD - External</t>
  </si>
  <si>
    <t>TBD - Interest Bearing</t>
  </si>
  <si>
    <t>TBD - Subsidy</t>
  </si>
  <si>
    <t>TBD - Tax Exempt</t>
  </si>
  <si>
    <t>TBD - Taxable</t>
  </si>
  <si>
    <t>TCAP</t>
  </si>
  <si>
    <t>TCEP</t>
  </si>
  <si>
    <t xml:space="preserve">Per unit Subsidy cap is </t>
  </si>
  <si>
    <t xml:space="preserve">TC </t>
  </si>
  <si>
    <t>TC</t>
  </si>
  <si>
    <t>Current Stage Existing Unit</t>
  </si>
  <si>
    <t>Current Stage New Unit</t>
  </si>
  <si>
    <t xml:space="preserve">MH Interest Bearing Loan </t>
  </si>
  <si>
    <t>MH Interest Bearing Loan #2</t>
  </si>
  <si>
    <t>MH Interest Bearing Loan #3</t>
  </si>
  <si>
    <t>Historic Credit-Federal</t>
  </si>
  <si>
    <t>Historic Credit-State</t>
  </si>
  <si>
    <t>Terms</t>
  </si>
  <si>
    <t>0% Deferred Loan 2</t>
  </si>
  <si>
    <t>0% Deferred Loan 3</t>
  </si>
  <si>
    <t>Other Outside Sources</t>
  </si>
  <si>
    <t>and/or Term</t>
  </si>
  <si>
    <t>Straight Amortization</t>
  </si>
  <si>
    <t>30 year am - 20 year ballon</t>
  </si>
  <si>
    <t>GP Contribution  + Syndicator TBD</t>
  </si>
  <si>
    <t>2025-2026 FINANCING AND</t>
  </si>
  <si>
    <t>Due on or before 7/3/2024 for 2025  9% Credits</t>
  </si>
  <si>
    <t>Due on or before 7/3/2025 for 2026  9% Credits</t>
  </si>
  <si>
    <t>Due date for 2025 Tax-Exempt Projects will be included in the RFP</t>
  </si>
  <si>
    <t>For 2025  9% Credits must be postmarked by 9/19/2024</t>
  </si>
  <si>
    <t>For 2026  9% Credits must be postmarked by 9/18/2025</t>
  </si>
  <si>
    <t>Name of Partnership</t>
  </si>
  <si>
    <t>Project Name</t>
  </si>
  <si>
    <t>0 to 1% = 5 pts</t>
  </si>
  <si>
    <t>&gt; 1% to 20% = 4 pts</t>
  </si>
  <si>
    <t>&gt; 20% to 40% = 3 pts</t>
  </si>
  <si>
    <t>&gt; 40% to 60% = 2 pts</t>
  </si>
  <si>
    <t>&gt; 60% to 80% = 1 pt</t>
  </si>
  <si>
    <t>Census Tract #</t>
  </si>
  <si>
    <t>GP &amp; SLP Contributions:</t>
  </si>
  <si>
    <t>Family Housing</t>
  </si>
  <si>
    <t>Total LI Units</t>
  </si>
  <si>
    <t>*Please complete payee and type for all Utilties/Services</t>
  </si>
  <si>
    <t>Effective: October 1, 2024</t>
  </si>
  <si>
    <t>10-Year T-Note Rate (From H.15, http://www.federalreserve.gov/releases/h15/)</t>
  </si>
  <si>
    <t>Step 1: Determine Comparability, Select Method of Cost Allocation</t>
  </si>
  <si>
    <t>1 Gross Residential Sq. Ft.</t>
  </si>
  <si>
    <t>Two essential questions:</t>
  </si>
  <si>
    <t>Elevator:</t>
  </si>
  <si>
    <t>1) Are units comparable?</t>
  </si>
  <si>
    <t>2) Which costs are eligible/ineligible for HTF</t>
  </si>
  <si>
    <t>Comparable does not mean identical</t>
  </si>
  <si>
    <t>1) Configuration</t>
  </si>
  <si>
    <t xml:space="preserve">2) Size </t>
  </si>
  <si>
    <t xml:space="preserve">3) Amenities </t>
  </si>
  <si>
    <t>3 Total Development Costs</t>
  </si>
  <si>
    <t>4) rents</t>
  </si>
  <si>
    <t>4 Ineligible Development Costs</t>
  </si>
  <si>
    <t>May have comparability within unit types</t>
  </si>
  <si>
    <t>a. Accessory Structures, Commercial Space, Etc.</t>
  </si>
  <si>
    <t>b. Capitalized Reserves</t>
  </si>
  <si>
    <t>c. Org/Partnership Legal &amp; Syndication</t>
  </si>
  <si>
    <t>d. Off Site Work</t>
  </si>
  <si>
    <t>e. FF&amp;E</t>
  </si>
  <si>
    <t>f. LIHTC Fees</t>
  </si>
  <si>
    <t>g. Treat Contingency as Ineligible</t>
  </si>
  <si>
    <t>Subtotal:</t>
  </si>
  <si>
    <t>5 Relocation Costs</t>
  </si>
  <si>
    <t>Ineligible Costs:</t>
  </si>
  <si>
    <t xml:space="preserve">1) accessory structures i.e. out buildings, commercial space </t>
  </si>
  <si>
    <t>7 Base Project Cost</t>
  </si>
  <si>
    <t>2) Capitalized Reserves</t>
  </si>
  <si>
    <t>8 Base Cost/Residential Sq. Ft.</t>
  </si>
  <si>
    <t>3) Org/Partnership &amp; Syndication Exp.</t>
  </si>
  <si>
    <t xml:space="preserve">4) Off Site Work </t>
  </si>
  <si>
    <t>9 HTF Share Ratio - Based on Cost</t>
  </si>
  <si>
    <t xml:space="preserve">5) FF &amp; E </t>
  </si>
  <si>
    <t>6) LIHTC Fees</t>
  </si>
  <si>
    <t>Assign Units</t>
  </si>
  <si>
    <t>7) Treat Contingency as Ineligible</t>
  </si>
  <si>
    <t>Unit Type Description/Notes</t>
  </si>
  <si>
    <t>No BRs</t>
  </si>
  <si>
    <t>Sq. FT</t>
  </si>
  <si>
    <t>Fraction:</t>
  </si>
  <si>
    <t>0 BR/1-Bath</t>
  </si>
  <si>
    <t xml:space="preserve">1 BR/1-Bath </t>
  </si>
  <si>
    <t>1 BR/1-Bath (Other)</t>
  </si>
  <si>
    <t>2 BR/1-Bath</t>
  </si>
  <si>
    <t>2 BR/1-Bath (Other)</t>
  </si>
  <si>
    <t>3 BR/1-Bath</t>
  </si>
  <si>
    <t>3 BR/1-Bath (Other)</t>
  </si>
  <si>
    <t>4 BR/1-Bath</t>
  </si>
  <si>
    <t>4 BR/1-Bath (Other)</t>
  </si>
  <si>
    <t xml:space="preserve">Subtotal of HTF unit Costs </t>
  </si>
  <si>
    <t>Relocation costs allocated exclusively to HTF units (if applicable):</t>
  </si>
  <si>
    <t>Actual Cost of HTF Units</t>
  </si>
  <si>
    <t>Step 4: Calculate Maximum Project Subsidy:</t>
  </si>
  <si>
    <t>Unit Size</t>
  </si>
  <si>
    <t>Max. Subsidy/Unit</t>
  </si>
  <si>
    <t xml:space="preserve">Max Subsidy </t>
  </si>
  <si>
    <t>0 Bedroom/Efficiency</t>
  </si>
  <si>
    <t>Maximum Project Subsidy</t>
  </si>
  <si>
    <t>Step 5: Maximum HTF Investment, Lesser of</t>
  </si>
  <si>
    <t>Proposed Investment (GAP) (From Step 2)</t>
  </si>
  <si>
    <t>Actual Cost of HTF units (From Step 3)</t>
  </si>
  <si>
    <t>Maximum Project Subsidy (From Step 4)</t>
  </si>
  <si>
    <t>Maximum HTF Investment:</t>
  </si>
  <si>
    <t>Must be sure this chart is updated!!</t>
  </si>
  <si>
    <t>Section 234 - Condominum Housing</t>
  </si>
  <si>
    <t>Bedrooms</t>
  </si>
  <si>
    <t>Non-Elevator</t>
  </si>
  <si>
    <t>Elevator</t>
  </si>
  <si>
    <t>High Cost Factor</t>
  </si>
  <si>
    <t>4+</t>
  </si>
  <si>
    <t>https://www.hudexchange.info/resource/2315/home-per-unit-subsidy/</t>
  </si>
  <si>
    <t>*effective 1.1.2024</t>
  </si>
  <si>
    <t>2 Proposed HOME/HTF Investment</t>
  </si>
  <si>
    <t>Step 2: Proposed HOME/HTF Investment</t>
  </si>
  <si>
    <t>Step 3: Calculate Actual Cost of HOME/HTF Units</t>
  </si>
  <si>
    <t>6 Assign Relocation Exclusively to HOME/HTF units</t>
  </si>
  <si>
    <t>Standard Method, HOME/HTF Cost Allocation Worksheet</t>
  </si>
  <si>
    <t>Projected PIS</t>
  </si>
  <si>
    <t>1st Credit Year</t>
  </si>
  <si>
    <t>Months for tax return</t>
  </si>
  <si>
    <t>Projected Bridge Pay off</t>
  </si>
  <si>
    <t>SLIHTC Bridge Calc</t>
  </si>
  <si>
    <t>SLP FYE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</si>
</sst>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mm/dd/yy"/>
    <numFmt numFmtId="166" formatCode="0#"/>
    <numFmt numFmtId="167" formatCode="&quot;$&quot;#,##0.00"/>
    <numFmt numFmtId="168" formatCode="m/d/yy"/>
    <numFmt numFmtId="169" formatCode="#,##0.000"/>
    <numFmt numFmtId="170" formatCode="#,##0.00000"/>
    <numFmt numFmtId="171" formatCode="yyyy"/>
    <numFmt numFmtId="172" formatCode="m/d/yy;@"/>
    <numFmt numFmtId="173" formatCode="0.0%"/>
    <numFmt numFmtId="174" formatCode="0.0000%"/>
    <numFmt numFmtId="175" formatCode="0.000%"/>
    <numFmt numFmtId="176" formatCode="_(* #,##0_);_(* \(#,##0\);_(* &quot;-&quot;??_);_(@_)"/>
    <numFmt numFmtId="177" formatCode="&quot;$&quot;#,##0.0_);[Red]\(&quot;$&quot;#,##0.0\)"/>
    <numFmt numFmtId="178" formatCode="_(* #,##0.0_);_(* \(#,##0.0\);_(* &quot;-&quot;?_);_(@_)"/>
    <numFmt numFmtId="179" formatCode="#,##0\ &quot;Cents&quot;"/>
    <numFmt numFmtId="180" formatCode="_(&quot;$&quot;* #,##0_);_(&quot;$&quot;* \(#,##0\);_(&quot;$&quot;* &quot;-&quot;??_);_(@_)"/>
    <numFmt numFmtId="181" formatCode="&quot;Source&quot;\ #"/>
  </numFmts>
  <fonts count="109" x14ac:knownFonts="1">
    <font>
      <sz val="10"/>
      <name val="MS Sans Serif"/>
    </font>
    <font>
      <sz val="11"/>
      <color theme="1"/>
      <name val="Garamond"/>
      <family val="2"/>
      <scheme val="minor"/>
    </font>
    <font>
      <b/>
      <sz val="10"/>
      <name val="MS Sans Serif"/>
      <family val="2"/>
    </font>
    <font>
      <sz val="10"/>
      <name val="MS Sans Serif"/>
      <family val="2"/>
    </font>
    <font>
      <sz val="10"/>
      <name val="Arial"/>
      <family val="2"/>
    </font>
    <font>
      <b/>
      <sz val="10"/>
      <name val="Arial"/>
      <family val="2"/>
    </font>
    <font>
      <sz val="8"/>
      <name val="Arial"/>
      <family val="2"/>
    </font>
    <font>
      <i/>
      <sz val="8"/>
      <name val="Arial"/>
      <family val="2"/>
    </font>
    <font>
      <sz val="10"/>
      <name val="Arial"/>
      <family val="2"/>
    </font>
    <font>
      <u/>
      <sz val="8"/>
      <name val="Arial"/>
      <family val="2"/>
    </font>
    <font>
      <b/>
      <sz val="8"/>
      <name val="Arial"/>
      <family val="2"/>
    </font>
    <font>
      <sz val="8"/>
      <name val="MS Sans Serif"/>
      <family val="2"/>
    </font>
    <font>
      <sz val="9"/>
      <name val="Arial"/>
      <family val="2"/>
    </font>
    <font>
      <b/>
      <sz val="9"/>
      <name val="Arial"/>
      <family val="2"/>
    </font>
    <font>
      <sz val="8"/>
      <name val="Arial"/>
      <family val="2"/>
    </font>
    <font>
      <u/>
      <sz val="10"/>
      <name val="Arial"/>
      <family val="2"/>
    </font>
    <font>
      <sz val="8"/>
      <color indexed="56"/>
      <name val="Arial"/>
      <family val="2"/>
    </font>
    <font>
      <u/>
      <sz val="8.5"/>
      <color indexed="12"/>
      <name val="MS Sans Serif"/>
      <family val="2"/>
    </font>
    <font>
      <sz val="10"/>
      <name val="MS Sans Serif"/>
      <family val="2"/>
    </font>
    <font>
      <i/>
      <sz val="10"/>
      <name val="MS Sans Serif"/>
      <family val="2"/>
    </font>
    <font>
      <b/>
      <sz val="24"/>
      <name val="Arial"/>
      <family val="2"/>
    </font>
    <font>
      <i/>
      <sz val="10"/>
      <name val="Arial"/>
      <family val="2"/>
    </font>
    <font>
      <sz val="10"/>
      <name val="Helv"/>
    </font>
    <font>
      <b/>
      <sz val="8"/>
      <color rgb="FFFF0000"/>
      <name val="Arial"/>
      <family val="2"/>
    </font>
    <font>
      <sz val="8"/>
      <color rgb="FFFF0000"/>
      <name val="Arial"/>
      <family val="2"/>
    </font>
    <font>
      <sz val="8"/>
      <color indexed="10"/>
      <name val="Arial"/>
      <family val="2"/>
    </font>
    <font>
      <b/>
      <u/>
      <sz val="10"/>
      <name val="Arial"/>
      <family val="2"/>
    </font>
    <font>
      <sz val="10"/>
      <color indexed="10"/>
      <name val="Arial"/>
      <family val="2"/>
    </font>
    <font>
      <b/>
      <sz val="10"/>
      <color indexed="10"/>
      <name val="Arial"/>
      <family val="2"/>
    </font>
    <font>
      <u/>
      <sz val="10"/>
      <color indexed="10"/>
      <name val="Arial"/>
      <family val="2"/>
    </font>
    <font>
      <b/>
      <sz val="8"/>
      <color indexed="81"/>
      <name val="Tahoma"/>
      <family val="2"/>
    </font>
    <font>
      <sz val="8"/>
      <color indexed="81"/>
      <name val="Tahoma"/>
      <family val="2"/>
    </font>
    <font>
      <sz val="8"/>
      <color theme="9" tint="0.79998168889431442"/>
      <name val="Arial"/>
      <family val="2"/>
    </font>
    <font>
      <sz val="10"/>
      <color theme="9" tint="0.79998168889431442"/>
      <name val="Arial"/>
      <family val="2"/>
    </font>
    <font>
      <sz val="9"/>
      <color rgb="FFFF0000"/>
      <name val="Arial"/>
      <family val="2"/>
    </font>
    <font>
      <b/>
      <sz val="9"/>
      <color rgb="FFFF0000"/>
      <name val="Arial"/>
      <family val="2"/>
    </font>
    <font>
      <sz val="10"/>
      <color rgb="FFFF0000"/>
      <name val="Arial"/>
      <family val="2"/>
    </font>
    <font>
      <b/>
      <sz val="10"/>
      <color rgb="FFFF0000"/>
      <name val="Arial"/>
      <family val="2"/>
    </font>
    <font>
      <sz val="11"/>
      <color rgb="FF000000"/>
      <name val="Calibri"/>
      <family val="2"/>
    </font>
    <font>
      <b/>
      <sz val="12"/>
      <name val="Arial"/>
      <family val="2"/>
    </font>
    <font>
      <u/>
      <sz val="9"/>
      <name val="Arial"/>
      <family val="2"/>
    </font>
    <font>
      <sz val="10"/>
      <name val="Arial"/>
      <family val="2"/>
      <scheme val="major"/>
    </font>
    <font>
      <sz val="8"/>
      <name val="Arial"/>
      <family val="2"/>
      <scheme val="major"/>
    </font>
    <font>
      <sz val="9"/>
      <name val="Arial"/>
      <family val="2"/>
      <scheme val="major"/>
    </font>
    <font>
      <b/>
      <sz val="10"/>
      <name val="Arial"/>
      <family val="2"/>
      <scheme val="major"/>
    </font>
    <font>
      <b/>
      <sz val="8"/>
      <name val="Arial"/>
      <family val="2"/>
      <scheme val="major"/>
    </font>
    <font>
      <sz val="8"/>
      <color rgb="FFFF0000"/>
      <name val="Arial"/>
      <family val="2"/>
      <scheme val="major"/>
    </font>
    <font>
      <u/>
      <sz val="8"/>
      <name val="Arial"/>
      <family val="2"/>
      <scheme val="major"/>
    </font>
    <font>
      <b/>
      <sz val="8"/>
      <color theme="0"/>
      <name val="Arial"/>
      <family val="2"/>
    </font>
    <font>
      <b/>
      <sz val="8"/>
      <color rgb="FFFF0000"/>
      <name val="Arial"/>
      <family val="2"/>
      <scheme val="major"/>
    </font>
    <font>
      <b/>
      <sz val="10"/>
      <color rgb="FFFF0000"/>
      <name val="MS Sans Serif"/>
      <family val="2"/>
    </font>
    <font>
      <sz val="8"/>
      <color theme="0"/>
      <name val="Arial"/>
      <family val="2"/>
    </font>
    <font>
      <b/>
      <sz val="10"/>
      <name val="MS Sans Serif"/>
    </font>
    <font>
      <b/>
      <sz val="9"/>
      <name val="Arial"/>
      <family val="2"/>
      <scheme val="major"/>
    </font>
    <font>
      <sz val="12"/>
      <name val="Arial"/>
      <family val="2"/>
    </font>
    <font>
      <b/>
      <sz val="12"/>
      <name val="Arial"/>
      <family val="2"/>
      <scheme val="major"/>
    </font>
    <font>
      <b/>
      <sz val="12"/>
      <name val="Garamond"/>
      <family val="1"/>
    </font>
    <font>
      <b/>
      <sz val="14"/>
      <color rgb="FFFF0000"/>
      <name val="Arial"/>
      <family val="2"/>
      <scheme val="major"/>
    </font>
    <font>
      <sz val="14"/>
      <name val="Arial"/>
      <family val="2"/>
      <scheme val="major"/>
    </font>
    <font>
      <sz val="10"/>
      <color rgb="FFFF0000"/>
      <name val="Arial"/>
      <family val="2"/>
      <scheme val="major"/>
    </font>
    <font>
      <sz val="10"/>
      <color theme="0"/>
      <name val="Arial"/>
      <family val="2"/>
      <scheme val="major"/>
    </font>
    <font>
      <sz val="10"/>
      <color theme="9" tint="0.79998168889431442"/>
      <name val="Arial"/>
      <family val="2"/>
      <scheme val="major"/>
    </font>
    <font>
      <b/>
      <sz val="14"/>
      <name val="Arial"/>
      <family val="2"/>
    </font>
    <font>
      <b/>
      <i/>
      <sz val="12"/>
      <name val="Arial"/>
      <family val="2"/>
    </font>
    <font>
      <sz val="14"/>
      <name val="Arial"/>
      <family val="2"/>
    </font>
    <font>
      <sz val="16"/>
      <name val="Arial"/>
      <family val="2"/>
    </font>
    <font>
      <sz val="8.5"/>
      <name val="Arial"/>
      <family val="2"/>
    </font>
    <font>
      <sz val="8.5"/>
      <name val="MS Sans Serif"/>
      <family val="2"/>
    </font>
    <font>
      <b/>
      <sz val="8.5"/>
      <name val="MS Sans Serif"/>
      <family val="2"/>
    </font>
    <font>
      <b/>
      <sz val="8.5"/>
      <name val="Arial"/>
      <family val="2"/>
    </font>
    <font>
      <b/>
      <i/>
      <sz val="10"/>
      <name val="Arial"/>
      <family val="2"/>
      <scheme val="major"/>
    </font>
    <font>
      <b/>
      <i/>
      <sz val="8"/>
      <name val="Arial"/>
      <family val="2"/>
      <scheme val="major"/>
    </font>
    <font>
      <i/>
      <sz val="10"/>
      <name val="Arial"/>
      <family val="2"/>
      <scheme val="major"/>
    </font>
    <font>
      <u/>
      <sz val="8.5"/>
      <color indexed="12"/>
      <name val="Arial"/>
      <family val="2"/>
      <scheme val="major"/>
    </font>
    <font>
      <b/>
      <i/>
      <sz val="10"/>
      <color indexed="12"/>
      <name val="Arial"/>
      <family val="2"/>
    </font>
    <font>
      <b/>
      <i/>
      <sz val="10"/>
      <name val="Arial"/>
      <family val="2"/>
    </font>
    <font>
      <b/>
      <i/>
      <sz val="10"/>
      <color theme="9" tint="0.79998168889431442"/>
      <name val="Arial"/>
      <family val="2"/>
    </font>
    <font>
      <u/>
      <sz val="8.5"/>
      <color indexed="12"/>
      <name val="Arial"/>
      <family val="2"/>
    </font>
    <font>
      <sz val="10"/>
      <name val="MS Sans Serif"/>
    </font>
    <font>
      <b/>
      <sz val="9"/>
      <color indexed="81"/>
      <name val="Tahoma"/>
      <family val="2"/>
    </font>
    <font>
      <sz val="9"/>
      <color indexed="81"/>
      <name val="Tahoma"/>
      <family val="2"/>
    </font>
    <font>
      <sz val="12"/>
      <name val="Garamond"/>
      <family val="1"/>
    </font>
    <font>
      <b/>
      <sz val="14"/>
      <name val="Arial"/>
      <family val="2"/>
      <scheme val="major"/>
    </font>
    <font>
      <sz val="8"/>
      <color theme="1"/>
      <name val="Arial"/>
      <family val="2"/>
      <scheme val="major"/>
    </font>
    <font>
      <sz val="10"/>
      <color theme="0"/>
      <name val="MS Sans Serif"/>
    </font>
    <font>
      <b/>
      <sz val="12"/>
      <name val="Garamond"/>
      <family val="1"/>
      <scheme val="minor"/>
    </font>
    <font>
      <u/>
      <sz val="10"/>
      <color indexed="12"/>
      <name val="MS Sans Serif"/>
      <family val="2"/>
    </font>
    <font>
      <sz val="8"/>
      <name val="MS Sans Serif"/>
    </font>
    <font>
      <sz val="8"/>
      <color theme="0"/>
      <name val="Arial"/>
      <family val="2"/>
      <scheme val="major"/>
    </font>
    <font>
      <b/>
      <sz val="20"/>
      <color theme="1"/>
      <name val="Calibri"/>
      <family val="2"/>
    </font>
    <font>
      <sz val="10"/>
      <name val="Calibri"/>
      <family val="2"/>
    </font>
    <font>
      <b/>
      <sz val="11"/>
      <color theme="1"/>
      <name val="Calibri"/>
      <family val="2"/>
    </font>
    <font>
      <b/>
      <sz val="10"/>
      <name val="Calibri"/>
      <family val="2"/>
    </font>
    <font>
      <b/>
      <sz val="14"/>
      <name val="Calibri"/>
      <family val="2"/>
    </font>
    <font>
      <b/>
      <sz val="14"/>
      <color theme="0"/>
      <name val="Calibri"/>
      <family val="2"/>
    </font>
    <font>
      <sz val="8"/>
      <color theme="1"/>
      <name val="Arial"/>
      <family val="2"/>
    </font>
    <font>
      <sz val="10"/>
      <color theme="1"/>
      <name val="MS Sans Serif"/>
    </font>
    <font>
      <b/>
      <sz val="10"/>
      <color theme="1"/>
      <name val="MS Sans Serif"/>
    </font>
    <font>
      <b/>
      <sz val="10"/>
      <color theme="0"/>
      <name val="MS Sans Serif"/>
    </font>
    <font>
      <b/>
      <sz val="8"/>
      <color theme="1"/>
      <name val="Arial"/>
      <family val="2"/>
    </font>
    <font>
      <b/>
      <sz val="9"/>
      <color rgb="FFFF0000"/>
      <name val="Arial"/>
      <family val="2"/>
      <scheme val="major"/>
    </font>
    <font>
      <sz val="9"/>
      <color rgb="FFF8FAE0"/>
      <name val="Arial"/>
      <family val="2"/>
      <scheme val="major"/>
    </font>
    <font>
      <b/>
      <sz val="14"/>
      <color theme="1"/>
      <name val="Garamond"/>
      <family val="1"/>
    </font>
    <font>
      <sz val="11"/>
      <color theme="1"/>
      <name val="Garamond"/>
      <family val="1"/>
    </font>
    <font>
      <sz val="11"/>
      <name val="Garamond"/>
      <family val="1"/>
    </font>
    <font>
      <sz val="10"/>
      <name val="Garamond"/>
      <family val="1"/>
    </font>
    <font>
      <b/>
      <sz val="11"/>
      <color theme="1"/>
      <name val="Garamond"/>
      <family val="1"/>
    </font>
    <font>
      <b/>
      <sz val="11"/>
      <color rgb="FFFF0000"/>
      <name val="Garamond"/>
      <family val="1"/>
    </font>
    <font>
      <u/>
      <sz val="11"/>
      <color theme="10"/>
      <name val="Garamond"/>
      <family val="1"/>
    </font>
  </fonts>
  <fills count="3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79998168889431442"/>
        <bgColor indexed="41"/>
      </patternFill>
    </fill>
    <fill>
      <patternFill patternType="solid">
        <fgColor indexed="9"/>
        <bgColor indexed="64"/>
      </patternFill>
    </fill>
    <fill>
      <patternFill patternType="solid">
        <fgColor theme="9" tint="0.79998168889431442"/>
        <bgColor indexed="26"/>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3"/>
        <bgColor indexed="43"/>
      </patternFill>
    </fill>
    <fill>
      <patternFill patternType="gray0625">
        <fgColor indexed="43"/>
        <bgColor indexed="43"/>
      </patternFill>
    </fill>
    <fill>
      <patternFill patternType="solid">
        <fgColor indexed="43"/>
        <bgColor indexed="22"/>
      </patternFill>
    </fill>
    <fill>
      <patternFill patternType="solid">
        <fgColor indexed="65"/>
        <bgColor indexed="64"/>
      </patternFill>
    </fill>
    <fill>
      <patternFill patternType="solid">
        <fgColor indexed="9"/>
        <bgColor indexed="43"/>
      </patternFill>
    </fill>
    <fill>
      <patternFill patternType="solid">
        <fgColor indexed="43"/>
        <bgColor indexed="64"/>
      </patternFill>
    </fill>
    <fill>
      <patternFill patternType="solid">
        <fgColor rgb="FFF8FAE0"/>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76B531"/>
        <bgColor indexed="64"/>
      </patternFill>
    </fill>
    <fill>
      <patternFill patternType="solid">
        <fgColor rgb="FF548123"/>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bgColor theme="1"/>
      </patternFill>
    </fill>
    <fill>
      <patternFill patternType="solid">
        <fgColor rgb="FF8AB6FE"/>
        <bgColor indexed="64"/>
      </patternFill>
    </fill>
    <fill>
      <patternFill patternType="solid">
        <fgColor theme="4" tint="0.59999389629810485"/>
        <bgColor indexed="64"/>
      </patternFill>
    </fill>
  </fills>
  <borders count="13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48"/>
      </left>
      <right style="medium">
        <color indexed="48"/>
      </right>
      <top style="medium">
        <color indexed="48"/>
      </top>
      <bottom style="medium">
        <color indexed="48"/>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48"/>
      </left>
      <right/>
      <top style="medium">
        <color indexed="48"/>
      </top>
      <bottom style="medium">
        <color indexed="48"/>
      </bottom>
      <diagonal/>
    </border>
    <border>
      <left/>
      <right style="medium">
        <color indexed="48"/>
      </right>
      <top style="medium">
        <color indexed="48"/>
      </top>
      <bottom style="medium">
        <color indexed="48"/>
      </bottom>
      <diagonal/>
    </border>
    <border>
      <left/>
      <right/>
      <top style="medium">
        <color indexed="48"/>
      </top>
      <bottom style="medium">
        <color indexed="48"/>
      </bottom>
      <diagonal/>
    </border>
    <border>
      <left style="medium">
        <color indexed="48"/>
      </left>
      <right/>
      <top style="medium">
        <color indexed="48"/>
      </top>
      <bottom/>
      <diagonal/>
    </border>
    <border>
      <left/>
      <right style="medium">
        <color indexed="48"/>
      </right>
      <top style="medium">
        <color indexed="48"/>
      </top>
      <bottom/>
      <diagonal/>
    </border>
    <border>
      <left style="medium">
        <color indexed="48"/>
      </left>
      <right/>
      <top/>
      <bottom style="medium">
        <color indexed="48"/>
      </bottom>
      <diagonal/>
    </border>
    <border>
      <left/>
      <right style="medium">
        <color indexed="48"/>
      </right>
      <top/>
      <bottom style="medium">
        <color indexed="48"/>
      </bottom>
      <diagonal/>
    </border>
    <border>
      <left/>
      <right/>
      <top style="medium">
        <color indexed="48"/>
      </top>
      <bottom/>
      <diagonal/>
    </border>
    <border>
      <left/>
      <right/>
      <top/>
      <bottom style="medium">
        <color indexed="4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48"/>
      </bottom>
      <diagonal/>
    </border>
    <border>
      <left style="thin">
        <color indexed="64"/>
      </left>
      <right/>
      <top style="medium">
        <color indexed="48"/>
      </top>
      <bottom style="thin">
        <color indexed="64"/>
      </bottom>
      <diagonal/>
    </border>
    <border>
      <left/>
      <right style="thin">
        <color indexed="64"/>
      </right>
      <top style="medium">
        <color indexed="48"/>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48"/>
      </right>
      <top style="medium">
        <color indexed="48"/>
      </top>
      <bottom style="medium">
        <color indexed="48"/>
      </bottom>
      <diagonal/>
    </border>
    <border>
      <left style="medium">
        <color indexed="64"/>
      </left>
      <right/>
      <top style="medium">
        <color indexed="48"/>
      </top>
      <bottom style="thin">
        <color indexed="64"/>
      </bottom>
      <diagonal/>
    </border>
    <border>
      <left/>
      <right style="medium">
        <color indexed="64"/>
      </right>
      <top style="medium">
        <color indexed="48"/>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medium">
        <color indexed="48"/>
      </bottom>
      <diagonal/>
    </border>
    <border>
      <left style="thin">
        <color auto="1"/>
      </left>
      <right/>
      <top style="thin">
        <color auto="1"/>
      </top>
      <bottom style="medium">
        <color indexed="48"/>
      </bottom>
      <diagonal/>
    </border>
    <border>
      <left/>
      <right/>
      <top style="thin">
        <color auto="1"/>
      </top>
      <bottom style="medium">
        <color indexed="48"/>
      </bottom>
      <diagonal/>
    </border>
    <border>
      <left/>
      <right style="thin">
        <color auto="1"/>
      </right>
      <top style="thin">
        <color auto="1"/>
      </top>
      <bottom style="medium">
        <color indexed="48"/>
      </bottom>
      <diagonal/>
    </border>
    <border>
      <left/>
      <right/>
      <top/>
      <bottom style="thin">
        <color theme="1"/>
      </bottom>
      <diagonal/>
    </border>
    <border>
      <left/>
      <right style="thin">
        <color indexed="64"/>
      </right>
      <top/>
      <bottom style="thin">
        <color theme="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48"/>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48"/>
      </left>
      <right/>
      <top/>
      <bottom/>
      <diagonal/>
    </border>
    <border>
      <left/>
      <right style="medium">
        <color indexed="48"/>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48"/>
      </left>
      <right/>
      <top style="thin">
        <color indexed="48"/>
      </top>
      <bottom style="thin">
        <color indexed="48"/>
      </bottom>
      <diagonal/>
    </border>
    <border>
      <left/>
      <right/>
      <top style="thin">
        <color indexed="48"/>
      </top>
      <bottom style="thin">
        <color indexed="48"/>
      </bottom>
      <diagonal/>
    </border>
    <border>
      <left/>
      <right style="thin">
        <color indexed="48"/>
      </right>
      <top style="thin">
        <color indexed="48"/>
      </top>
      <bottom style="thin">
        <color indexed="48"/>
      </bottom>
      <diagonal/>
    </border>
    <border>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48"/>
      </left>
      <right style="medium">
        <color indexed="48"/>
      </right>
      <top style="medium">
        <color indexed="48"/>
      </top>
      <bottom/>
      <diagonal/>
    </border>
    <border>
      <left/>
      <right/>
      <top style="double">
        <color indexed="64"/>
      </top>
      <bottom style="thin">
        <color indexed="64"/>
      </bottom>
      <diagonal/>
    </border>
    <border>
      <left/>
      <right/>
      <top style="medium">
        <color indexed="48"/>
      </top>
      <bottom style="thin">
        <color indexed="64"/>
      </bottom>
      <diagonal/>
    </border>
    <border>
      <left style="medium">
        <color rgb="FF3366FF"/>
      </left>
      <right style="medium">
        <color rgb="FF3366FF"/>
      </right>
      <top style="medium">
        <color rgb="FF3366FF"/>
      </top>
      <bottom style="medium">
        <color rgb="FF3366FF"/>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style="double">
        <color indexed="64"/>
      </bottom>
      <diagonal/>
    </border>
    <border>
      <left style="thin">
        <color indexed="10"/>
      </left>
      <right style="thin">
        <color indexed="10"/>
      </right>
      <top style="thin">
        <color indexed="10"/>
      </top>
      <bottom style="thin">
        <color indexed="10"/>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top/>
      <bottom style="thick">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right/>
      <top style="thin">
        <color indexed="64"/>
      </top>
      <bottom style="double">
        <color indexed="64"/>
      </bottom>
      <diagonal/>
    </border>
    <border>
      <left style="medium">
        <color indexed="64"/>
      </left>
      <right/>
      <top/>
      <bottom style="thin">
        <color indexed="64"/>
      </bottom>
      <diagonal/>
    </border>
    <border>
      <left/>
      <right style="medium">
        <color auto="1"/>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48"/>
      </left>
      <right style="thin">
        <color indexed="48"/>
      </right>
      <top style="thin">
        <color indexed="48"/>
      </top>
      <bottom style="thin">
        <color rgb="FF3366FF"/>
      </bottom>
      <diagonal/>
    </border>
    <border>
      <left style="thin">
        <color indexed="48"/>
      </left>
      <right/>
      <top style="thin">
        <color indexed="48"/>
      </top>
      <bottom style="thin">
        <color rgb="FF3366FF"/>
      </bottom>
      <diagonal/>
    </border>
    <border>
      <left/>
      <right/>
      <top style="thin">
        <color indexed="48"/>
      </top>
      <bottom style="thin">
        <color rgb="FF3366FF"/>
      </bottom>
      <diagonal/>
    </border>
    <border>
      <left/>
      <right style="thin">
        <color indexed="48"/>
      </right>
      <top style="thin">
        <color indexed="48"/>
      </top>
      <bottom style="thin">
        <color rgb="FF3366FF"/>
      </bottom>
      <diagonal/>
    </border>
    <border>
      <left style="thin">
        <color theme="1"/>
      </left>
      <right/>
      <top style="thin">
        <color theme="1"/>
      </top>
      <bottom/>
      <diagonal/>
    </border>
    <border>
      <left/>
      <right/>
      <top style="thin">
        <color theme="1"/>
      </top>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auto="1"/>
      </top>
      <bottom/>
      <diagonal/>
    </border>
  </borders>
  <cellStyleXfs count="28">
    <xf numFmtId="0" fontId="0" fillId="0" borderId="0"/>
    <xf numFmtId="40" fontId="3" fillId="0" borderId="0" applyFont="0" applyFill="0" applyBorder="0" applyAlignment="0" applyProtection="0"/>
    <xf numFmtId="8" fontId="3" fillId="0" borderId="0" applyFont="0" applyFill="0" applyBorder="0" applyAlignment="0" applyProtection="0"/>
    <xf numFmtId="0" fontId="17" fillId="0" borderId="0" applyNumberFormat="0" applyFill="0" applyBorder="0" applyAlignment="0" applyProtection="0">
      <alignment vertical="top"/>
      <protection locked="0"/>
    </xf>
    <xf numFmtId="0" fontId="8" fillId="0" borderId="0"/>
    <xf numFmtId="0" fontId="3" fillId="0" borderId="0"/>
    <xf numFmtId="0" fontId="8" fillId="0" borderId="0"/>
    <xf numFmtId="9" fontId="3" fillId="0" borderId="0" applyFont="0" applyFill="0" applyBorder="0" applyAlignment="0" applyProtection="0"/>
    <xf numFmtId="9" fontId="3" fillId="0" borderId="0" applyFont="0" applyFill="0" applyBorder="0" applyAlignment="0" applyProtection="0"/>
    <xf numFmtId="0" fontId="22" fillId="0" borderId="0"/>
    <xf numFmtId="4" fontId="22" fillId="0" borderId="0" applyFont="0" applyFill="0" applyBorder="0" applyAlignment="0" applyProtection="0"/>
    <xf numFmtId="9" fontId="22" fillId="0" borderId="0" applyFont="0" applyFill="0" applyBorder="0" applyAlignment="0" applyProtection="0"/>
    <xf numFmtId="8" fontId="2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8" fontId="3" fillId="0" borderId="0" applyFont="0" applyFill="0" applyBorder="0" applyAlignment="0" applyProtection="0"/>
    <xf numFmtId="0" fontId="4" fillId="0" borderId="0"/>
    <xf numFmtId="40" fontId="3" fillId="0" borderId="0" applyFont="0" applyFill="0" applyBorder="0" applyAlignment="0" applyProtection="0"/>
    <xf numFmtId="0" fontId="4" fillId="0" borderId="0"/>
    <xf numFmtId="0" fontId="3" fillId="0" borderId="0"/>
    <xf numFmtId="43" fontId="4" fillId="0" borderId="0" applyFont="0" applyFill="0" applyBorder="0" applyAlignment="0" applyProtection="0"/>
    <xf numFmtId="9" fontId="78" fillId="0" borderId="0" applyFont="0" applyFill="0" applyBorder="0" applyAlignment="0" applyProtection="0"/>
    <xf numFmtId="40" fontId="78"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805">
    <xf numFmtId="0" fontId="0" fillId="0" borderId="0" xfId="0"/>
    <xf numFmtId="0" fontId="0" fillId="0" borderId="0" xfId="0" applyAlignment="1">
      <alignment horizontal="centerContinuous"/>
    </xf>
    <xf numFmtId="164" fontId="6" fillId="0" borderId="13" xfId="0" applyNumberFormat="1" applyFont="1" applyBorder="1" applyAlignment="1" applyProtection="1">
      <alignment horizontal="right"/>
      <protection locked="0"/>
    </xf>
    <xf numFmtId="0" fontId="4" fillId="0" borderId="0" xfId="0" applyFont="1" applyAlignment="1">
      <alignment horizontal="centerContinuous"/>
    </xf>
    <xf numFmtId="0" fontId="19" fillId="0" borderId="0" xfId="0" applyFont="1" applyAlignment="1">
      <alignment horizontal="centerContinuous"/>
    </xf>
    <xf numFmtId="0" fontId="20" fillId="0" borderId="0" xfId="0" applyFont="1" applyAlignment="1">
      <alignment horizontal="centerContinuous"/>
    </xf>
    <xf numFmtId="0" fontId="4" fillId="2" borderId="0" xfId="5" applyFont="1" applyFill="1"/>
    <xf numFmtId="38" fontId="6" fillId="2" borderId="14" xfId="5" applyNumberFormat="1" applyFont="1" applyFill="1" applyBorder="1" applyAlignment="1">
      <alignment horizontal="center"/>
    </xf>
    <xf numFmtId="38" fontId="6" fillId="2" borderId="0" xfId="5" applyNumberFormat="1" applyFont="1" applyFill="1" applyAlignment="1">
      <alignment horizontal="center"/>
    </xf>
    <xf numFmtId="0" fontId="6" fillId="2" borderId="0" xfId="5" applyFont="1" applyFill="1"/>
    <xf numFmtId="0" fontId="4" fillId="2" borderId="0" xfId="5" applyFont="1" applyFill="1" applyAlignment="1">
      <alignment horizontal="center"/>
    </xf>
    <xf numFmtId="0" fontId="5" fillId="2" borderId="0" xfId="5" applyFont="1" applyFill="1" applyAlignment="1">
      <alignment horizontal="center"/>
    </xf>
    <xf numFmtId="38" fontId="6" fillId="2" borderId="16" xfId="5" applyNumberFormat="1" applyFont="1" applyFill="1" applyBorder="1" applyAlignment="1">
      <alignment horizontal="center"/>
    </xf>
    <xf numFmtId="38" fontId="6" fillId="2" borderId="1" xfId="5" applyNumberFormat="1" applyFont="1" applyFill="1" applyBorder="1" applyAlignment="1">
      <alignment horizontal="center"/>
    </xf>
    <xf numFmtId="0" fontId="4" fillId="2" borderId="1" xfId="5" applyFont="1" applyFill="1" applyBorder="1"/>
    <xf numFmtId="164" fontId="6" fillId="2" borderId="0" xfId="0" applyNumberFormat="1" applyFont="1" applyFill="1" applyAlignment="1">
      <alignment horizontal="right"/>
    </xf>
    <xf numFmtId="0" fontId="6" fillId="2" borderId="1" xfId="5" applyFont="1" applyFill="1" applyBorder="1"/>
    <xf numFmtId="38" fontId="6" fillId="2" borderId="0" xfId="5" applyNumberFormat="1" applyFont="1" applyFill="1"/>
    <xf numFmtId="164" fontId="6" fillId="2" borderId="0" xfId="0" applyNumberFormat="1" applyFont="1" applyFill="1" applyAlignment="1">
      <alignment horizontal="center"/>
    </xf>
    <xf numFmtId="164" fontId="16" fillId="2" borderId="15" xfId="0" applyNumberFormat="1" applyFont="1" applyFill="1" applyBorder="1" applyAlignment="1">
      <alignment horizontal="right"/>
    </xf>
    <xf numFmtId="0" fontId="6" fillId="2" borderId="14" xfId="5" applyFont="1" applyFill="1" applyBorder="1"/>
    <xf numFmtId="38" fontId="6" fillId="2" borderId="14" xfId="5" applyNumberFormat="1" applyFont="1" applyFill="1" applyBorder="1"/>
    <xf numFmtId="38" fontId="6" fillId="2" borderId="0" xfId="5" applyNumberFormat="1" applyFont="1" applyFill="1" applyAlignment="1">
      <alignment horizontal="right"/>
    </xf>
    <xf numFmtId="0" fontId="6" fillId="2" borderId="0" xfId="5" applyFont="1" applyFill="1" applyAlignment="1">
      <alignment horizontal="right"/>
    </xf>
    <xf numFmtId="3" fontId="16" fillId="2" borderId="0" xfId="0" applyNumberFormat="1" applyFont="1" applyFill="1" applyAlignment="1">
      <alignment horizontal="right"/>
    </xf>
    <xf numFmtId="3" fontId="6" fillId="2" borderId="0" xfId="5" applyNumberFormat="1" applyFont="1" applyFill="1"/>
    <xf numFmtId="0" fontId="5" fillId="2" borderId="0" xfId="5" applyFont="1" applyFill="1"/>
    <xf numFmtId="6" fontId="6" fillId="0" borderId="13" xfId="2" applyNumberFormat="1" applyFont="1" applyFill="1" applyBorder="1" applyAlignment="1" applyProtection="1">
      <alignment horizontal="right"/>
      <protection locked="0"/>
    </xf>
    <xf numFmtId="6" fontId="6" fillId="0" borderId="13" xfId="2" applyNumberFormat="1" applyFont="1" applyFill="1" applyBorder="1" applyProtection="1">
      <protection locked="0"/>
    </xf>
    <xf numFmtId="0" fontId="5" fillId="2" borderId="0" xfId="5" applyFont="1" applyFill="1" applyAlignment="1">
      <alignment horizontal="left"/>
    </xf>
    <xf numFmtId="164" fontId="16" fillId="2" borderId="0" xfId="0" applyNumberFormat="1" applyFont="1" applyFill="1" applyAlignment="1">
      <alignment horizontal="right"/>
    </xf>
    <xf numFmtId="164" fontId="6" fillId="2" borderId="13" xfId="0" applyNumberFormat="1" applyFont="1" applyFill="1" applyBorder="1" applyAlignment="1">
      <alignment horizontal="right"/>
    </xf>
    <xf numFmtId="0" fontId="4" fillId="2" borderId="5" xfId="5" applyFont="1" applyFill="1" applyBorder="1"/>
    <xf numFmtId="164" fontId="10" fillId="2" borderId="0" xfId="0" applyNumberFormat="1" applyFont="1" applyFill="1" applyAlignment="1">
      <alignment horizontal="center"/>
    </xf>
    <xf numFmtId="0" fontId="12" fillId="2" borderId="0" xfId="6" applyFont="1" applyFill="1"/>
    <xf numFmtId="0" fontId="12" fillId="2" borderId="0" xfId="5" applyFont="1" applyFill="1" applyAlignment="1">
      <alignment horizontal="center"/>
    </xf>
    <xf numFmtId="0" fontId="12" fillId="2" borderId="0" xfId="6" applyFont="1" applyFill="1" applyAlignment="1">
      <alignment horizontal="center"/>
    </xf>
    <xf numFmtId="164" fontId="6" fillId="2" borderId="28" xfId="0" applyNumberFormat="1" applyFont="1" applyFill="1" applyBorder="1" applyAlignment="1">
      <alignment horizontal="right"/>
    </xf>
    <xf numFmtId="0" fontId="12" fillId="2" borderId="5" xfId="6" applyFont="1" applyFill="1" applyBorder="1"/>
    <xf numFmtId="0" fontId="12" fillId="4" borderId="0" xfId="6" applyFont="1" applyFill="1"/>
    <xf numFmtId="9" fontId="6" fillId="2" borderId="13" xfId="7" applyFont="1" applyFill="1" applyBorder="1" applyAlignment="1" applyProtection="1">
      <alignment horizontal="center"/>
    </xf>
    <xf numFmtId="0" fontId="13" fillId="2" borderId="0" xfId="6" applyFont="1" applyFill="1"/>
    <xf numFmtId="0" fontId="12" fillId="2" borderId="0" xfId="6" applyFont="1" applyFill="1" applyAlignment="1">
      <alignment horizontal="left"/>
    </xf>
    <xf numFmtId="9" fontId="6" fillId="2" borderId="13" xfId="7" applyFont="1" applyFill="1" applyBorder="1" applyAlignment="1" applyProtection="1">
      <alignment horizontal="right"/>
    </xf>
    <xf numFmtId="164" fontId="6" fillId="2" borderId="13" xfId="0" applyNumberFormat="1" applyFont="1" applyFill="1" applyBorder="1"/>
    <xf numFmtId="167" fontId="6" fillId="0" borderId="13" xfId="0" applyNumberFormat="1" applyFont="1" applyBorder="1" applyAlignment="1" applyProtection="1">
      <alignment horizontal="center"/>
      <protection locked="0"/>
    </xf>
    <xf numFmtId="167" fontId="6" fillId="3" borderId="13" xfId="0" applyNumberFormat="1" applyFont="1" applyFill="1" applyBorder="1" applyAlignment="1" applyProtection="1">
      <alignment horizontal="center"/>
      <protection locked="0"/>
    </xf>
    <xf numFmtId="0" fontId="4" fillId="2" borderId="0" xfId="5" applyFont="1" applyFill="1" applyAlignment="1">
      <alignment horizontal="right"/>
    </xf>
    <xf numFmtId="164" fontId="10" fillId="2" borderId="28" xfId="0" applyNumberFormat="1" applyFont="1" applyFill="1" applyBorder="1" applyAlignment="1">
      <alignment horizontal="right"/>
    </xf>
    <xf numFmtId="38" fontId="7" fillId="2" borderId="0" xfId="5" applyNumberFormat="1" applyFont="1" applyFill="1" applyAlignment="1">
      <alignment horizontal="center"/>
    </xf>
    <xf numFmtId="0" fontId="13" fillId="2" borderId="0" xfId="5" applyFont="1" applyFill="1" applyAlignment="1">
      <alignment horizontal="center"/>
    </xf>
    <xf numFmtId="0" fontId="4" fillId="2" borderId="44" xfId="5" applyFont="1" applyFill="1" applyBorder="1"/>
    <xf numFmtId="0" fontId="5" fillId="2" borderId="45" xfId="5" applyFont="1" applyFill="1" applyBorder="1"/>
    <xf numFmtId="0" fontId="4" fillId="2" borderId="45" xfId="5" applyFont="1" applyFill="1" applyBorder="1"/>
    <xf numFmtId="0" fontId="4" fillId="2" borderId="46" xfId="5" applyFont="1" applyFill="1" applyBorder="1"/>
    <xf numFmtId="0" fontId="4" fillId="2" borderId="24" xfId="5" applyFont="1" applyFill="1" applyBorder="1"/>
    <xf numFmtId="0" fontId="4" fillId="2" borderId="25" xfId="5" applyFont="1" applyFill="1" applyBorder="1"/>
    <xf numFmtId="0" fontId="6" fillId="0" borderId="0" xfId="9" applyFont="1"/>
    <xf numFmtId="3" fontId="6" fillId="0" borderId="9" xfId="9" applyNumberFormat="1" applyFont="1" applyBorder="1"/>
    <xf numFmtId="3" fontId="10" fillId="0" borderId="9" xfId="9" applyNumberFormat="1" applyFont="1" applyBorder="1"/>
    <xf numFmtId="0" fontId="10" fillId="0" borderId="0" xfId="9" applyFont="1"/>
    <xf numFmtId="10" fontId="6" fillId="0" borderId="20" xfId="9" applyNumberFormat="1" applyFont="1" applyBorder="1"/>
    <xf numFmtId="0" fontId="6" fillId="0" borderId="5" xfId="9" applyFont="1" applyBorder="1"/>
    <xf numFmtId="0" fontId="6" fillId="0" borderId="22" xfId="9" applyFont="1" applyBorder="1"/>
    <xf numFmtId="0" fontId="6" fillId="0" borderId="10" xfId="9" applyFont="1" applyBorder="1"/>
    <xf numFmtId="0" fontId="6" fillId="0" borderId="9" xfId="9" applyFont="1" applyBorder="1"/>
    <xf numFmtId="37" fontId="6" fillId="0" borderId="10" xfId="9" applyNumberFormat="1" applyFont="1" applyBorder="1"/>
    <xf numFmtId="37" fontId="6" fillId="0" borderId="0" xfId="9" applyNumberFormat="1" applyFont="1"/>
    <xf numFmtId="164" fontId="6" fillId="0" borderId="9" xfId="9" applyNumberFormat="1" applyFont="1" applyBorder="1"/>
    <xf numFmtId="5" fontId="6" fillId="0" borderId="0" xfId="9" applyNumberFormat="1" applyFont="1"/>
    <xf numFmtId="14" fontId="6" fillId="0" borderId="9" xfId="9" applyNumberFormat="1" applyFont="1" applyBorder="1" applyAlignment="1">
      <alignment horizontal="center"/>
    </xf>
    <xf numFmtId="9" fontId="6" fillId="0" borderId="0" xfId="11" applyFont="1" applyBorder="1"/>
    <xf numFmtId="37" fontId="6" fillId="0" borderId="9" xfId="9" applyNumberFormat="1" applyFont="1" applyBorder="1"/>
    <xf numFmtId="171" fontId="6" fillId="0" borderId="9" xfId="9" applyNumberFormat="1" applyFont="1" applyBorder="1" applyAlignment="1">
      <alignment horizontal="center"/>
    </xf>
    <xf numFmtId="0" fontId="6" fillId="0" borderId="9" xfId="9" applyFont="1" applyBorder="1" applyAlignment="1">
      <alignment horizontal="center"/>
    </xf>
    <xf numFmtId="0" fontId="6" fillId="0" borderId="20" xfId="9" applyFont="1" applyBorder="1" applyAlignment="1">
      <alignment horizontal="right"/>
    </xf>
    <xf numFmtId="0" fontId="6" fillId="0" borderId="5" xfId="9" applyFont="1" applyBorder="1" applyAlignment="1">
      <alignment horizontal="right"/>
    </xf>
    <xf numFmtId="0" fontId="6" fillId="0" borderId="22" xfId="9" applyFont="1" applyBorder="1" applyAlignment="1">
      <alignment horizontal="center"/>
    </xf>
    <xf numFmtId="0" fontId="6" fillId="0" borderId="10" xfId="9" applyFont="1" applyBorder="1" applyAlignment="1">
      <alignment horizontal="right"/>
    </xf>
    <xf numFmtId="0" fontId="6" fillId="0" borderId="0" xfId="9" applyFont="1" applyAlignment="1">
      <alignment horizontal="right"/>
    </xf>
    <xf numFmtId="0" fontId="6" fillId="0" borderId="0" xfId="9" applyFont="1" applyAlignment="1">
      <alignment horizontal="center"/>
    </xf>
    <xf numFmtId="0" fontId="6" fillId="0" borderId="9" xfId="9" applyFont="1" applyBorder="1" applyAlignment="1">
      <alignment horizontal="right"/>
    </xf>
    <xf numFmtId="0" fontId="6" fillId="0" borderId="7" xfId="9" applyFont="1" applyBorder="1"/>
    <xf numFmtId="0" fontId="6" fillId="0" borderId="21" xfId="9" applyFont="1" applyBorder="1"/>
    <xf numFmtId="0" fontId="6" fillId="0" borderId="6" xfId="9" applyFont="1" applyBorder="1"/>
    <xf numFmtId="0" fontId="6" fillId="0" borderId="20" xfId="9" applyFont="1" applyBorder="1"/>
    <xf numFmtId="5" fontId="6" fillId="0" borderId="5" xfId="9" applyNumberFormat="1" applyFont="1" applyBorder="1"/>
    <xf numFmtId="37" fontId="6" fillId="0" borderId="0" xfId="10" applyNumberFormat="1" applyFont="1" applyBorder="1"/>
    <xf numFmtId="37" fontId="6" fillId="0" borderId="0" xfId="10" applyNumberFormat="1" applyFont="1"/>
    <xf numFmtId="37" fontId="6" fillId="0" borderId="10" xfId="10" applyNumberFormat="1" applyFont="1" applyBorder="1"/>
    <xf numFmtId="14" fontId="6" fillId="0" borderId="20" xfId="9" applyNumberFormat="1" applyFont="1" applyBorder="1" applyAlignment="1">
      <alignment horizontal="center"/>
    </xf>
    <xf numFmtId="14" fontId="6" fillId="0" borderId="5" xfId="9" applyNumberFormat="1" applyFont="1" applyBorder="1"/>
    <xf numFmtId="14" fontId="6" fillId="0" borderId="5" xfId="9" applyNumberFormat="1" applyFont="1" applyBorder="1" applyAlignment="1">
      <alignment horizontal="right"/>
    </xf>
    <xf numFmtId="14" fontId="6" fillId="0" borderId="20" xfId="9" applyNumberFormat="1" applyFont="1" applyBorder="1"/>
    <xf numFmtId="14" fontId="6" fillId="0" borderId="5" xfId="9" applyNumberFormat="1" applyFont="1" applyBorder="1" applyAlignment="1">
      <alignment horizontal="center"/>
    </xf>
    <xf numFmtId="3" fontId="6" fillId="0" borderId="0" xfId="9" applyNumberFormat="1" applyFont="1"/>
    <xf numFmtId="3" fontId="10" fillId="0" borderId="22" xfId="9" applyNumberFormat="1" applyFont="1" applyBorder="1"/>
    <xf numFmtId="3" fontId="6" fillId="0" borderId="0" xfId="10" applyNumberFormat="1" applyFont="1"/>
    <xf numFmtId="3" fontId="10" fillId="0" borderId="0" xfId="10" applyNumberFormat="1" applyFont="1"/>
    <xf numFmtId="9" fontId="6" fillId="0" borderId="0" xfId="9" applyNumberFormat="1" applyFont="1"/>
    <xf numFmtId="0" fontId="6" fillId="0" borderId="20" xfId="9" applyFont="1" applyBorder="1" applyAlignment="1">
      <alignment horizontal="center"/>
    </xf>
    <xf numFmtId="0" fontId="6" fillId="0" borderId="5" xfId="9" applyFont="1" applyBorder="1" applyAlignment="1">
      <alignment horizontal="center"/>
    </xf>
    <xf numFmtId="0" fontId="6" fillId="0" borderId="7" xfId="9" applyFont="1" applyBorder="1" applyAlignment="1">
      <alignment horizontal="centerContinuous"/>
    </xf>
    <xf numFmtId="0" fontId="6" fillId="0" borderId="21" xfId="9" applyFont="1" applyBorder="1" applyAlignment="1">
      <alignment horizontal="centerContinuous"/>
    </xf>
    <xf numFmtId="37" fontId="6" fillId="0" borderId="20" xfId="9" applyNumberFormat="1" applyFont="1" applyBorder="1"/>
    <xf numFmtId="37" fontId="6" fillId="0" borderId="5" xfId="9" applyNumberFormat="1" applyFont="1" applyBorder="1"/>
    <xf numFmtId="2" fontId="6" fillId="0" borderId="10" xfId="9" applyNumberFormat="1" applyFont="1" applyBorder="1"/>
    <xf numFmtId="2" fontId="6" fillId="0" borderId="0" xfId="9" applyNumberFormat="1" applyFont="1"/>
    <xf numFmtId="172" fontId="6" fillId="0" borderId="0" xfId="9" applyNumberFormat="1" applyFont="1" applyAlignment="1">
      <alignment horizontal="center"/>
    </xf>
    <xf numFmtId="0" fontId="10" fillId="0" borderId="0" xfId="9" applyFont="1" applyAlignment="1">
      <alignment horizontal="center"/>
    </xf>
    <xf numFmtId="168" fontId="6" fillId="0" borderId="0" xfId="9" applyNumberFormat="1" applyFont="1" applyAlignment="1">
      <alignment horizontal="center"/>
    </xf>
    <xf numFmtId="37" fontId="6" fillId="0" borderId="10" xfId="9" applyNumberFormat="1" applyFont="1" applyBorder="1" applyAlignment="1">
      <alignment horizontal="right"/>
    </xf>
    <xf numFmtId="37" fontId="6" fillId="0" borderId="0" xfId="9" applyNumberFormat="1" applyFont="1" applyAlignment="1">
      <alignment horizontal="center"/>
    </xf>
    <xf numFmtId="37" fontId="6" fillId="0" borderId="0" xfId="9" applyNumberFormat="1" applyFont="1" applyAlignment="1">
      <alignment horizontal="right"/>
    </xf>
    <xf numFmtId="37" fontId="6" fillId="0" borderId="7" xfId="9" applyNumberFormat="1" applyFont="1" applyBorder="1" applyAlignment="1">
      <alignment horizontal="right"/>
    </xf>
    <xf numFmtId="37" fontId="6" fillId="0" borderId="21" xfId="9" applyNumberFormat="1" applyFont="1" applyBorder="1" applyAlignment="1">
      <alignment horizontal="center"/>
    </xf>
    <xf numFmtId="37" fontId="6" fillId="0" borderId="21" xfId="9" applyNumberFormat="1" applyFont="1" applyBorder="1" applyAlignment="1">
      <alignment horizontal="right"/>
    </xf>
    <xf numFmtId="0" fontId="6" fillId="0" borderId="6" xfId="9" applyFont="1" applyBorder="1" applyAlignment="1">
      <alignment horizontal="center"/>
    </xf>
    <xf numFmtId="37" fontId="10" fillId="0" borderId="20" xfId="10" applyNumberFormat="1" applyFont="1" applyBorder="1"/>
    <xf numFmtId="0" fontId="10" fillId="0" borderId="5" xfId="9" applyFont="1" applyBorder="1"/>
    <xf numFmtId="9" fontId="6" fillId="0" borderId="5" xfId="9" applyNumberFormat="1" applyFont="1" applyBorder="1"/>
    <xf numFmtId="10" fontId="6" fillId="0" borderId="0" xfId="11" applyNumberFormat="1" applyFont="1" applyBorder="1"/>
    <xf numFmtId="3" fontId="10" fillId="0" borderId="19" xfId="10" applyNumberFormat="1" applyFont="1" applyBorder="1"/>
    <xf numFmtId="0" fontId="10" fillId="0" borderId="18" xfId="9" applyFont="1" applyBorder="1"/>
    <xf numFmtId="0" fontId="10" fillId="0" borderId="17" xfId="9" applyFont="1" applyBorder="1"/>
    <xf numFmtId="0" fontId="10" fillId="5" borderId="20" xfId="9" applyFont="1" applyFill="1" applyBorder="1" applyAlignment="1">
      <alignment horizontal="center"/>
    </xf>
    <xf numFmtId="3" fontId="10" fillId="0" borderId="19" xfId="10" applyNumberFormat="1" applyFont="1" applyBorder="1" applyAlignment="1">
      <alignment horizontal="right"/>
    </xf>
    <xf numFmtId="0" fontId="10" fillId="5" borderId="10" xfId="9" applyFont="1" applyFill="1" applyBorder="1" applyAlignment="1">
      <alignment horizontal="center"/>
    </xf>
    <xf numFmtId="10" fontId="25" fillId="5" borderId="10" xfId="11" applyNumberFormat="1" applyFont="1" applyFill="1" applyBorder="1" applyAlignment="1">
      <alignment horizontal="center"/>
    </xf>
    <xf numFmtId="10" fontId="25" fillId="5" borderId="7" xfId="11" applyNumberFormat="1" applyFont="1" applyFill="1" applyBorder="1" applyAlignment="1">
      <alignment horizontal="center"/>
    </xf>
    <xf numFmtId="17" fontId="6" fillId="0" borderId="21" xfId="9" applyNumberFormat="1" applyFont="1" applyBorder="1"/>
    <xf numFmtId="3" fontId="10" fillId="0" borderId="0" xfId="9" applyNumberFormat="1" applyFont="1"/>
    <xf numFmtId="0" fontId="4" fillId="0" borderId="0" xfId="15"/>
    <xf numFmtId="0" fontId="4" fillId="0" borderId="4" xfId="15" applyBorder="1"/>
    <xf numFmtId="0" fontId="4" fillId="0" borderId="3" xfId="15" applyBorder="1"/>
    <xf numFmtId="0" fontId="4" fillId="0" borderId="2" xfId="15" applyBorder="1"/>
    <xf numFmtId="0" fontId="4" fillId="0" borderId="12" xfId="15" applyBorder="1"/>
    <xf numFmtId="167" fontId="5" fillId="0" borderId="0" xfId="15" applyNumberFormat="1" applyFont="1"/>
    <xf numFmtId="0" fontId="5" fillId="0" borderId="0" xfId="15" applyFont="1" applyAlignment="1">
      <alignment horizontal="right"/>
    </xf>
    <xf numFmtId="0" fontId="4" fillId="0" borderId="1" xfId="15" applyBorder="1"/>
    <xf numFmtId="0" fontId="4" fillId="0" borderId="25" xfId="15" applyBorder="1"/>
    <xf numFmtId="0" fontId="4" fillId="0" borderId="24" xfId="15" applyBorder="1"/>
    <xf numFmtId="0" fontId="4" fillId="0" borderId="23" xfId="15" applyBorder="1"/>
    <xf numFmtId="6" fontId="5" fillId="0" borderId="0" xfId="15" applyNumberFormat="1" applyFont="1"/>
    <xf numFmtId="6" fontId="4" fillId="0" borderId="0" xfId="15" applyNumberFormat="1" applyAlignment="1">
      <alignment horizontal="right"/>
    </xf>
    <xf numFmtId="6" fontId="4" fillId="0" borderId="0" xfId="15" applyNumberFormat="1" applyAlignment="1">
      <alignment horizontal="center"/>
    </xf>
    <xf numFmtId="0" fontId="4" fillId="0" borderId="0" xfId="15" applyAlignment="1">
      <alignment horizontal="center"/>
    </xf>
    <xf numFmtId="174" fontId="4" fillId="0" borderId="0" xfId="11" applyNumberFormat="1" applyFont="1" applyAlignment="1">
      <alignment horizontal="center"/>
    </xf>
    <xf numFmtId="6" fontId="4" fillId="0" borderId="3" xfId="15" applyNumberFormat="1" applyBorder="1" applyAlignment="1">
      <alignment horizontal="right"/>
    </xf>
    <xf numFmtId="0" fontId="5" fillId="0" borderId="0" xfId="15" applyFont="1" applyAlignment="1">
      <alignment horizontal="center"/>
    </xf>
    <xf numFmtId="0" fontId="4" fillId="0" borderId="0" xfId="15" applyAlignment="1">
      <alignment horizontal="right"/>
    </xf>
    <xf numFmtId="174" fontId="4" fillId="0" borderId="0" xfId="11" applyNumberFormat="1" applyFont="1" applyBorder="1" applyAlignment="1">
      <alignment horizontal="center"/>
    </xf>
    <xf numFmtId="44" fontId="4" fillId="0" borderId="0" xfId="14" applyAlignment="1">
      <alignment horizontal="right"/>
    </xf>
    <xf numFmtId="0" fontId="4" fillId="0" borderId="40" xfId="15" applyBorder="1" applyAlignment="1">
      <alignment horizontal="center"/>
    </xf>
    <xf numFmtId="174" fontId="4" fillId="0" borderId="39" xfId="11" applyNumberFormat="1" applyFont="1" applyBorder="1" applyAlignment="1">
      <alignment horizontal="center"/>
    </xf>
    <xf numFmtId="164" fontId="4" fillId="0" borderId="38" xfId="14" applyNumberFormat="1" applyBorder="1" applyAlignment="1">
      <alignment horizontal="center"/>
    </xf>
    <xf numFmtId="0" fontId="15" fillId="0" borderId="0" xfId="15" applyFont="1" applyAlignment="1">
      <alignment horizontal="right"/>
    </xf>
    <xf numFmtId="0" fontId="15" fillId="0" borderId="0" xfId="15" applyFont="1" applyAlignment="1">
      <alignment horizontal="center"/>
    </xf>
    <xf numFmtId="0" fontId="26" fillId="0" borderId="0" xfId="15" applyFont="1" applyAlignment="1">
      <alignment horizontal="center"/>
    </xf>
    <xf numFmtId="175" fontId="4" fillId="0" borderId="0" xfId="11" applyNumberFormat="1" applyFont="1" applyAlignment="1">
      <alignment horizontal="center"/>
    </xf>
    <xf numFmtId="44" fontId="4" fillId="0" borderId="0" xfId="14" applyAlignment="1">
      <alignment horizontal="center"/>
    </xf>
    <xf numFmtId="0" fontId="5" fillId="0" borderId="0" xfId="15" applyFont="1"/>
    <xf numFmtId="6" fontId="4" fillId="0" borderId="0" xfId="15" applyNumberFormat="1"/>
    <xf numFmtId="0" fontId="27" fillId="0" borderId="0" xfId="15" applyFont="1"/>
    <xf numFmtId="6" fontId="27" fillId="0" borderId="0" xfId="15" applyNumberFormat="1" applyFont="1" applyAlignment="1">
      <alignment horizontal="center"/>
    </xf>
    <xf numFmtId="0" fontId="27" fillId="0" borderId="0" xfId="15" applyFont="1" applyAlignment="1">
      <alignment horizontal="center"/>
    </xf>
    <xf numFmtId="174" fontId="27" fillId="0" borderId="0" xfId="11" applyNumberFormat="1" applyFont="1" applyBorder="1" applyAlignment="1">
      <alignment horizontal="center"/>
    </xf>
    <xf numFmtId="164" fontId="27" fillId="0" borderId="0" xfId="14" applyNumberFormat="1" applyFont="1" applyBorder="1" applyAlignment="1">
      <alignment horizontal="center"/>
    </xf>
    <xf numFmtId="174" fontId="27" fillId="0" borderId="0" xfId="11" applyNumberFormat="1" applyFont="1" applyAlignment="1">
      <alignment horizontal="center"/>
    </xf>
    <xf numFmtId="0" fontId="28" fillId="0" borderId="0" xfId="15" applyFont="1" applyAlignment="1">
      <alignment horizontal="center"/>
    </xf>
    <xf numFmtId="6" fontId="27" fillId="0" borderId="4" xfId="15" applyNumberFormat="1" applyFont="1" applyBorder="1" applyAlignment="1">
      <alignment horizontal="center"/>
    </xf>
    <xf numFmtId="0" fontId="27" fillId="0" borderId="3" xfId="15" applyFont="1" applyBorder="1" applyAlignment="1">
      <alignment horizontal="center"/>
    </xf>
    <xf numFmtId="174" fontId="27" fillId="0" borderId="3" xfId="11" applyNumberFormat="1" applyFont="1" applyBorder="1" applyAlignment="1">
      <alignment horizontal="center"/>
    </xf>
    <xf numFmtId="164" fontId="27" fillId="0" borderId="2" xfId="14" applyNumberFormat="1" applyFont="1" applyBorder="1" applyAlignment="1">
      <alignment horizontal="center"/>
    </xf>
    <xf numFmtId="14" fontId="27" fillId="0" borderId="0" xfId="15" applyNumberFormat="1" applyFont="1" applyAlignment="1">
      <alignment horizontal="center"/>
    </xf>
    <xf numFmtId="6" fontId="27" fillId="0" borderId="25" xfId="15" applyNumberFormat="1" applyFont="1" applyBorder="1" applyAlignment="1">
      <alignment horizontal="center"/>
    </xf>
    <xf numFmtId="0" fontId="27" fillId="0" borderId="24" xfId="15" applyFont="1" applyBorder="1" applyAlignment="1">
      <alignment horizontal="center"/>
    </xf>
    <xf numFmtId="174" fontId="27" fillId="0" borderId="24" xfId="11" applyNumberFormat="1" applyFont="1" applyBorder="1" applyAlignment="1">
      <alignment horizontal="center"/>
    </xf>
    <xf numFmtId="164" fontId="27" fillId="0" borderId="23" xfId="14" applyNumberFormat="1" applyFont="1" applyBorder="1" applyAlignment="1">
      <alignment horizontal="center"/>
    </xf>
    <xf numFmtId="14" fontId="27" fillId="0" borderId="0" xfId="15" applyNumberFormat="1" applyFont="1"/>
    <xf numFmtId="0" fontId="29" fillId="0" borderId="0" xfId="15" applyFont="1" applyAlignment="1">
      <alignment horizontal="center"/>
    </xf>
    <xf numFmtId="164" fontId="4" fillId="0" borderId="0" xfId="15" applyNumberFormat="1"/>
    <xf numFmtId="164" fontId="5" fillId="0" borderId="54" xfId="15" applyNumberFormat="1" applyFont="1" applyBorder="1" applyAlignment="1">
      <alignment horizontal="center"/>
    </xf>
    <xf numFmtId="164" fontId="5" fillId="0" borderId="55" xfId="15" applyNumberFormat="1" applyFont="1" applyBorder="1" applyAlignment="1">
      <alignment horizontal="center"/>
    </xf>
    <xf numFmtId="164" fontId="5" fillId="0" borderId="28" xfId="15" applyNumberFormat="1" applyFont="1" applyBorder="1" applyAlignment="1">
      <alignment horizontal="center"/>
    </xf>
    <xf numFmtId="0" fontId="4" fillId="0" borderId="28" xfId="15" applyBorder="1" applyAlignment="1">
      <alignment horizontal="center"/>
    </xf>
    <xf numFmtId="164" fontId="4" fillId="0" borderId="4" xfId="15" applyNumberFormat="1" applyBorder="1"/>
    <xf numFmtId="0" fontId="4" fillId="0" borderId="2" xfId="15" applyBorder="1" applyAlignment="1">
      <alignment horizontal="center"/>
    </xf>
    <xf numFmtId="0" fontId="4" fillId="0" borderId="54" xfId="15" applyBorder="1" applyAlignment="1">
      <alignment horizontal="center"/>
    </xf>
    <xf numFmtId="6" fontId="4" fillId="0" borderId="12" xfId="12" applyNumberFormat="1" applyFont="1" applyBorder="1"/>
    <xf numFmtId="169" fontId="4" fillId="0" borderId="1" xfId="10" applyNumberFormat="1" applyFont="1" applyBorder="1" applyAlignment="1">
      <alignment horizontal="center"/>
    </xf>
    <xf numFmtId="164" fontId="4" fillId="0" borderId="0" xfId="14" applyNumberFormat="1" applyAlignment="1">
      <alignment horizontal="center"/>
    </xf>
    <xf numFmtId="3" fontId="4" fillId="0" borderId="55" xfId="15" applyNumberFormat="1" applyBorder="1" applyAlignment="1">
      <alignment horizontal="center"/>
    </xf>
    <xf numFmtId="0" fontId="4" fillId="0" borderId="55" xfId="15" applyBorder="1" applyAlignment="1">
      <alignment horizontal="center"/>
    </xf>
    <xf numFmtId="0" fontId="5" fillId="0" borderId="55" xfId="15" applyFont="1" applyBorder="1" applyAlignment="1">
      <alignment horizontal="center"/>
    </xf>
    <xf numFmtId="3" fontId="4" fillId="0" borderId="56" xfId="15" applyNumberFormat="1" applyBorder="1" applyAlignment="1">
      <alignment horizontal="center"/>
    </xf>
    <xf numFmtId="0" fontId="4" fillId="0" borderId="56" xfId="15" applyBorder="1" applyAlignment="1">
      <alignment horizontal="center"/>
    </xf>
    <xf numFmtId="0" fontId="5" fillId="0" borderId="56" xfId="15" applyFont="1" applyBorder="1" applyAlignment="1">
      <alignment horizontal="center"/>
    </xf>
    <xf numFmtId="164" fontId="4" fillId="0" borderId="1" xfId="14" applyNumberFormat="1" applyBorder="1" applyAlignment="1">
      <alignment horizontal="center"/>
    </xf>
    <xf numFmtId="0" fontId="4" fillId="0" borderId="12" xfId="15" applyBorder="1" applyAlignment="1">
      <alignment horizontal="center"/>
    </xf>
    <xf numFmtId="164" fontId="4" fillId="0" borderId="1" xfId="14" applyNumberFormat="1" applyFont="1" applyBorder="1" applyAlignment="1">
      <alignment horizontal="center"/>
    </xf>
    <xf numFmtId="0" fontId="4" fillId="0" borderId="25" xfId="15" applyBorder="1" applyAlignment="1">
      <alignment horizontal="center"/>
    </xf>
    <xf numFmtId="0" fontId="4" fillId="0" borderId="23" xfId="15" applyBorder="1" applyAlignment="1">
      <alignment horizontal="center"/>
    </xf>
    <xf numFmtId="43" fontId="4" fillId="0" borderId="0" xfId="13" applyAlignment="1">
      <alignment horizontal="center"/>
    </xf>
    <xf numFmtId="0" fontId="4" fillId="0" borderId="0" xfId="13" applyNumberFormat="1" applyAlignment="1">
      <alignment horizontal="center"/>
    </xf>
    <xf numFmtId="43" fontId="4" fillId="0" borderId="0" xfId="15" applyNumberFormat="1" applyAlignment="1">
      <alignment horizontal="center"/>
    </xf>
    <xf numFmtId="164" fontId="4" fillId="0" borderId="0" xfId="15" applyNumberFormat="1" applyAlignment="1">
      <alignment horizontal="center"/>
    </xf>
    <xf numFmtId="0" fontId="4" fillId="0" borderId="4" xfId="15" applyBorder="1" applyAlignment="1">
      <alignment horizontal="center"/>
    </xf>
    <xf numFmtId="164" fontId="4" fillId="0" borderId="0" xfId="14" applyNumberFormat="1" applyBorder="1" applyAlignment="1">
      <alignment horizontal="center"/>
    </xf>
    <xf numFmtId="164" fontId="4" fillId="0" borderId="4" xfId="14" applyNumberFormat="1" applyBorder="1" applyAlignment="1">
      <alignment horizontal="center"/>
    </xf>
    <xf numFmtId="0" fontId="4" fillId="0" borderId="2" xfId="15" applyBorder="1" applyAlignment="1">
      <alignment horizontal="left" indent="1"/>
    </xf>
    <xf numFmtId="0" fontId="4" fillId="0" borderId="1" xfId="15" applyBorder="1" applyAlignment="1">
      <alignment horizontal="center"/>
    </xf>
    <xf numFmtId="164" fontId="4" fillId="0" borderId="12" xfId="14" applyNumberFormat="1" applyBorder="1" applyAlignment="1">
      <alignment horizontal="center"/>
    </xf>
    <xf numFmtId="0" fontId="4" fillId="0" borderId="1" xfId="15" applyBorder="1" applyAlignment="1">
      <alignment horizontal="left" indent="1"/>
    </xf>
    <xf numFmtId="0" fontId="4" fillId="0" borderId="25" xfId="15" applyBorder="1" applyAlignment="1">
      <alignment horizontal="centerContinuous"/>
    </xf>
    <xf numFmtId="0" fontId="4" fillId="0" borderId="23" xfId="15" applyBorder="1" applyAlignment="1">
      <alignment horizontal="centerContinuous"/>
    </xf>
    <xf numFmtId="176" fontId="4" fillId="0" borderId="0" xfId="13" applyNumberFormat="1"/>
    <xf numFmtId="0" fontId="5" fillId="0" borderId="0" xfId="15" applyFont="1" applyAlignment="1">
      <alignment horizontal="left" indent="2"/>
    </xf>
    <xf numFmtId="0" fontId="5" fillId="0" borderId="12" xfId="15" applyFont="1" applyBorder="1" applyAlignment="1">
      <alignment horizontal="left" indent="2"/>
    </xf>
    <xf numFmtId="2" fontId="4" fillId="0" borderId="0" xfId="15" applyNumberFormat="1" applyAlignment="1">
      <alignment horizontal="center"/>
    </xf>
    <xf numFmtId="3" fontId="5" fillId="0" borderId="0" xfId="9" applyNumberFormat="1" applyFont="1" applyAlignment="1">
      <alignment horizontal="right"/>
    </xf>
    <xf numFmtId="3" fontId="5" fillId="0" borderId="0" xfId="9" applyNumberFormat="1" applyFont="1"/>
    <xf numFmtId="0" fontId="5" fillId="0" borderId="0" xfId="15" applyFont="1" applyAlignment="1">
      <alignment horizontal="left" indent="1"/>
    </xf>
    <xf numFmtId="168" fontId="4" fillId="0" borderId="0" xfId="15" applyNumberFormat="1" applyAlignment="1">
      <alignment horizontal="left"/>
    </xf>
    <xf numFmtId="168" fontId="4" fillId="0" borderId="0" xfId="11" applyNumberFormat="1" applyFont="1" applyBorder="1" applyAlignment="1">
      <alignment horizontal="center"/>
    </xf>
    <xf numFmtId="168" fontId="4" fillId="0" borderId="28" xfId="11" applyNumberFormat="1" applyFont="1" applyBorder="1" applyAlignment="1">
      <alignment horizontal="center"/>
    </xf>
    <xf numFmtId="175" fontId="4" fillId="0" borderId="28" xfId="11" applyNumberFormat="1" applyFont="1" applyBorder="1" applyAlignment="1">
      <alignment horizontal="center"/>
    </xf>
    <xf numFmtId="8" fontId="27" fillId="0" borderId="0" xfId="15" applyNumberFormat="1" applyFont="1" applyAlignment="1">
      <alignment horizontal="center"/>
    </xf>
    <xf numFmtId="0" fontId="4" fillId="0" borderId="0" xfId="15" applyAlignment="1">
      <alignment horizontal="left"/>
    </xf>
    <xf numFmtId="4" fontId="6" fillId="0" borderId="0" xfId="10" applyFont="1" applyAlignment="1">
      <alignment horizontal="center"/>
    </xf>
    <xf numFmtId="3" fontId="6" fillId="0" borderId="0" xfId="10" applyNumberFormat="1" applyFont="1" applyAlignment="1">
      <alignment horizontal="center"/>
    </xf>
    <xf numFmtId="1" fontId="6" fillId="0" borderId="0" xfId="9" applyNumberFormat="1" applyFont="1" applyAlignment="1">
      <alignment horizontal="center"/>
    </xf>
    <xf numFmtId="1" fontId="6" fillId="0" borderId="0" xfId="9" applyNumberFormat="1" applyFont="1"/>
    <xf numFmtId="10" fontId="6" fillId="0" borderId="0" xfId="9" applyNumberFormat="1" applyFont="1"/>
    <xf numFmtId="10" fontId="6" fillId="0" borderId="0" xfId="11" applyNumberFormat="1" applyFont="1"/>
    <xf numFmtId="3" fontId="6" fillId="0" borderId="0" xfId="10" applyNumberFormat="1" applyFont="1" applyAlignment="1">
      <alignment horizontal="centerContinuous"/>
    </xf>
    <xf numFmtId="0" fontId="6" fillId="0" borderId="0" xfId="9" applyFont="1" applyAlignment="1">
      <alignment horizontal="centerContinuous"/>
    </xf>
    <xf numFmtId="5" fontId="10" fillId="0" borderId="0" xfId="9" applyNumberFormat="1" applyFont="1" applyAlignment="1">
      <alignment horizontal="centerContinuous"/>
    </xf>
    <xf numFmtId="164" fontId="4" fillId="2" borderId="0" xfId="5" applyNumberFormat="1" applyFont="1" applyFill="1"/>
    <xf numFmtId="0" fontId="12" fillId="2" borderId="0" xfId="6" applyFont="1" applyFill="1" applyAlignment="1">
      <alignment horizontal="right"/>
    </xf>
    <xf numFmtId="38" fontId="6" fillId="2" borderId="1" xfId="5" applyNumberFormat="1" applyFont="1" applyFill="1" applyBorder="1" applyAlignment="1">
      <alignment horizontal="right"/>
    </xf>
    <xf numFmtId="0" fontId="4" fillId="2" borderId="1" xfId="5" applyFont="1" applyFill="1" applyBorder="1" applyAlignment="1">
      <alignment horizontal="right"/>
    </xf>
    <xf numFmtId="38" fontId="6" fillId="2" borderId="0" xfId="1" applyNumberFormat="1" applyFont="1" applyFill="1" applyBorder="1" applyAlignment="1" applyProtection="1">
      <alignment horizontal="center"/>
    </xf>
    <xf numFmtId="0" fontId="6" fillId="2" borderId="0" xfId="0" applyFont="1" applyFill="1"/>
    <xf numFmtId="0" fontId="8" fillId="2" borderId="0" xfId="6" applyFill="1"/>
    <xf numFmtId="6" fontId="6" fillId="2" borderId="0" xfId="2" applyNumberFormat="1" applyFont="1" applyFill="1" applyBorder="1" applyAlignment="1" applyProtection="1">
      <alignment horizontal="right"/>
    </xf>
    <xf numFmtId="0" fontId="5" fillId="2" borderId="0" xfId="6" applyFont="1" applyFill="1"/>
    <xf numFmtId="0" fontId="5" fillId="2" borderId="0" xfId="6" applyFont="1" applyFill="1" applyAlignment="1">
      <alignment horizontal="center"/>
    </xf>
    <xf numFmtId="0" fontId="0" fillId="2" borderId="0" xfId="0" applyFill="1"/>
    <xf numFmtId="0" fontId="6" fillId="2" borderId="0" xfId="0" applyFont="1" applyFill="1" applyAlignment="1">
      <alignment horizontal="right"/>
    </xf>
    <xf numFmtId="0" fontId="6" fillId="2" borderId="0" xfId="0" applyFont="1" applyFill="1" applyAlignment="1">
      <alignment vertical="top"/>
    </xf>
    <xf numFmtId="0" fontId="13" fillId="2" borderId="0" xfId="6" applyFont="1" applyFill="1" applyAlignment="1">
      <alignment horizontal="left" indent="2"/>
    </xf>
    <xf numFmtId="0" fontId="4" fillId="2" borderId="0" xfId="5" applyFont="1" applyFill="1" applyAlignment="1">
      <alignment horizontal="left" indent="2"/>
    </xf>
    <xf numFmtId="0" fontId="6" fillId="2" borderId="0" xfId="5" applyFont="1" applyFill="1" applyAlignment="1">
      <alignment horizontal="left" indent="2"/>
    </xf>
    <xf numFmtId="0" fontId="4" fillId="2" borderId="5" xfId="5" applyFont="1" applyFill="1" applyBorder="1" applyAlignment="1">
      <alignment horizontal="left" indent="2"/>
    </xf>
    <xf numFmtId="0" fontId="12" fillId="2" borderId="0" xfId="6" applyFont="1" applyFill="1" applyAlignment="1">
      <alignment horizontal="left" indent="2"/>
    </xf>
    <xf numFmtId="0" fontId="12" fillId="2" borderId="5" xfId="6" applyFont="1" applyFill="1" applyBorder="1" applyAlignment="1">
      <alignment horizontal="left" indent="2"/>
    </xf>
    <xf numFmtId="0" fontId="5" fillId="2" borderId="0" xfId="5" applyFont="1" applyFill="1" applyAlignment="1">
      <alignment horizontal="left" indent="2"/>
    </xf>
    <xf numFmtId="164" fontId="6" fillId="2" borderId="0" xfId="5" applyNumberFormat="1" applyFont="1" applyFill="1"/>
    <xf numFmtId="164" fontId="32" fillId="2" borderId="0" xfId="5" applyNumberFormat="1" applyFont="1" applyFill="1"/>
    <xf numFmtId="0" fontId="33" fillId="2" borderId="0" xfId="5" applyFont="1" applyFill="1"/>
    <xf numFmtId="164" fontId="6" fillId="0" borderId="13" xfId="0" applyNumberFormat="1" applyFont="1" applyBorder="1" applyProtection="1">
      <protection locked="0"/>
    </xf>
    <xf numFmtId="0" fontId="0" fillId="2" borderId="0" xfId="0" applyFill="1" applyAlignment="1">
      <alignment vertical="top"/>
    </xf>
    <xf numFmtId="0" fontId="0" fillId="2" borderId="0" xfId="0" applyFill="1" applyAlignment="1">
      <alignment horizontal="left"/>
    </xf>
    <xf numFmtId="0" fontId="5" fillId="2" borderId="14" xfId="0" applyFont="1" applyFill="1" applyBorder="1" applyAlignment="1">
      <alignment horizontal="centerContinuous"/>
    </xf>
    <xf numFmtId="0" fontId="0" fillId="2" borderId="14" xfId="0" applyFill="1" applyBorder="1" applyAlignment="1">
      <alignment horizontal="centerContinuous"/>
    </xf>
    <xf numFmtId="0" fontId="6" fillId="2" borderId="0" xfId="0" applyFont="1" applyFill="1" applyAlignment="1">
      <alignment wrapText="1"/>
    </xf>
    <xf numFmtId="0" fontId="4" fillId="2" borderId="0" xfId="0" applyFont="1" applyFill="1" applyAlignment="1">
      <alignment horizontal="center"/>
    </xf>
    <xf numFmtId="0" fontId="4" fillId="2" borderId="0" xfId="0" applyFont="1" applyFill="1" applyAlignment="1">
      <alignment vertical="top"/>
    </xf>
    <xf numFmtId="0" fontId="18" fillId="2" borderId="0" xfId="0" applyFont="1" applyFill="1"/>
    <xf numFmtId="0" fontId="15" fillId="2" borderId="0" xfId="0" applyFont="1" applyFill="1" applyAlignment="1">
      <alignment horizontal="center"/>
    </xf>
    <xf numFmtId="0" fontId="5" fillId="2" borderId="0" xfId="0" applyFont="1" applyFill="1"/>
    <xf numFmtId="0" fontId="4" fillId="2" borderId="0" xfId="0" applyFont="1" applyFill="1"/>
    <xf numFmtId="166" fontId="4" fillId="2" borderId="0" xfId="0" applyNumberFormat="1" applyFont="1" applyFill="1" applyAlignment="1">
      <alignment vertical="top"/>
    </xf>
    <xf numFmtId="164" fontId="6" fillId="2" borderId="0" xfId="0" applyNumberFormat="1" applyFont="1" applyFill="1"/>
    <xf numFmtId="164" fontId="6" fillId="2" borderId="15" xfId="0" applyNumberFormat="1" applyFont="1" applyFill="1" applyBorder="1"/>
    <xf numFmtId="164" fontId="4" fillId="2" borderId="0" xfId="0" applyNumberFormat="1" applyFont="1" applyFill="1"/>
    <xf numFmtId="164" fontId="10" fillId="2" borderId="15" xfId="0" applyNumberFormat="1" applyFont="1" applyFill="1" applyBorder="1"/>
    <xf numFmtId="164" fontId="10" fillId="2" borderId="0" xfId="0" applyNumberFormat="1" applyFont="1" applyFill="1"/>
    <xf numFmtId="164" fontId="6" fillId="0" borderId="13" xfId="0" applyNumberFormat="1" applyFont="1" applyBorder="1" applyAlignment="1" applyProtection="1">
      <alignment horizontal="center"/>
      <protection locked="0"/>
    </xf>
    <xf numFmtId="6" fontId="6" fillId="0" borderId="13" xfId="2" applyNumberFormat="1" applyFont="1" applyFill="1" applyBorder="1" applyAlignment="1" applyProtection="1">
      <alignment horizontal="center"/>
      <protection locked="0"/>
    </xf>
    <xf numFmtId="0" fontId="5" fillId="2" borderId="0" xfId="6" applyFont="1" applyFill="1" applyAlignment="1">
      <alignment horizontal="right"/>
    </xf>
    <xf numFmtId="10" fontId="12" fillId="3" borderId="26" xfId="7" applyNumberFormat="1" applyFont="1" applyFill="1" applyBorder="1" applyAlignment="1" applyProtection="1">
      <alignment horizontal="center"/>
      <protection locked="0"/>
    </xf>
    <xf numFmtId="38" fontId="12" fillId="3" borderId="26" xfId="1" applyNumberFormat="1" applyFont="1" applyFill="1" applyBorder="1" applyAlignment="1" applyProtection="1">
      <protection locked="0"/>
    </xf>
    <xf numFmtId="38" fontId="12" fillId="2" borderId="65" xfId="1" applyNumberFormat="1" applyFont="1" applyFill="1" applyBorder="1" applyProtection="1"/>
    <xf numFmtId="40" fontId="12" fillId="2" borderId="0" xfId="1" applyFont="1" applyFill="1" applyProtection="1"/>
    <xf numFmtId="40" fontId="36" fillId="2" borderId="0" xfId="1" applyFont="1" applyFill="1" applyProtection="1"/>
    <xf numFmtId="0" fontId="37" fillId="2" borderId="0" xfId="5" applyFont="1" applyFill="1"/>
    <xf numFmtId="0" fontId="37" fillId="2" borderId="0" xfId="5" applyFont="1" applyFill="1" applyAlignment="1">
      <alignment horizontal="right" indent="2"/>
    </xf>
    <xf numFmtId="0" fontId="37" fillId="2" borderId="0" xfId="5" applyFont="1" applyFill="1" applyAlignment="1">
      <alignment horizontal="left" indent="1"/>
    </xf>
    <xf numFmtId="37" fontId="6" fillId="0" borderId="61" xfId="9" applyNumberFormat="1" applyFont="1" applyBorder="1"/>
    <xf numFmtId="37" fontId="6" fillId="0" borderId="62" xfId="9" applyNumberFormat="1" applyFont="1" applyBorder="1"/>
    <xf numFmtId="37" fontId="10" fillId="0" borderId="0" xfId="9" applyNumberFormat="1" applyFont="1"/>
    <xf numFmtId="37" fontId="10" fillId="0" borderId="10" xfId="9" applyNumberFormat="1" applyFont="1" applyBorder="1"/>
    <xf numFmtId="0" fontId="4" fillId="2" borderId="39" xfId="5" applyFont="1" applyFill="1" applyBorder="1"/>
    <xf numFmtId="0" fontId="6" fillId="0" borderId="0" xfId="0" applyFont="1"/>
    <xf numFmtId="0" fontId="6" fillId="0" borderId="0" xfId="0" applyFont="1" applyAlignment="1">
      <alignment horizontal="right"/>
    </xf>
    <xf numFmtId="38" fontId="12" fillId="3" borderId="66" xfId="1" applyNumberFormat="1" applyFont="1" applyFill="1" applyBorder="1" applyAlignment="1" applyProtection="1">
      <protection locked="0"/>
    </xf>
    <xf numFmtId="0" fontId="4" fillId="0" borderId="0" xfId="5" applyFont="1" applyAlignment="1" applyProtection="1">
      <alignment horizontal="left" vertical="top" wrapText="1"/>
      <protection locked="0"/>
    </xf>
    <xf numFmtId="0" fontId="3" fillId="2" borderId="0" xfId="0" applyFont="1" applyFill="1"/>
    <xf numFmtId="0" fontId="6" fillId="2" borderId="0" xfId="6" applyFont="1" applyFill="1"/>
    <xf numFmtId="0" fontId="37" fillId="2" borderId="0" xfId="5" applyFont="1" applyFill="1" applyAlignment="1">
      <alignment horizontal="left" indent="2"/>
    </xf>
    <xf numFmtId="0" fontId="4" fillId="2" borderId="0" xfId="16" applyFont="1" applyFill="1"/>
    <xf numFmtId="0" fontId="5" fillId="2" borderId="0" xfId="16" applyFont="1" applyFill="1"/>
    <xf numFmtId="0" fontId="4" fillId="2" borderId="14" xfId="16" applyFont="1" applyFill="1" applyBorder="1"/>
    <xf numFmtId="0" fontId="44" fillId="2" borderId="0" xfId="0" applyFont="1" applyFill="1"/>
    <xf numFmtId="0" fontId="41" fillId="2" borderId="0" xfId="0" applyFont="1" applyFill="1"/>
    <xf numFmtId="0" fontId="42" fillId="2" borderId="0" xfId="0" applyFont="1" applyFill="1"/>
    <xf numFmtId="0" fontId="42" fillId="2" borderId="0" xfId="0" applyFont="1" applyFill="1" applyAlignment="1">
      <alignment horizontal="right"/>
    </xf>
    <xf numFmtId="0" fontId="41" fillId="2" borderId="0" xfId="0" applyFont="1" applyFill="1" applyAlignment="1">
      <alignment horizontal="center"/>
    </xf>
    <xf numFmtId="0" fontId="45" fillId="2" borderId="0" xfId="0" applyFont="1" applyFill="1"/>
    <xf numFmtId="0" fontId="42" fillId="2" borderId="0" xfId="0" applyFont="1" applyFill="1" applyAlignment="1">
      <alignment vertical="top"/>
    </xf>
    <xf numFmtId="0" fontId="42" fillId="2" borderId="58" xfId="0" applyFont="1" applyFill="1" applyBorder="1" applyAlignment="1">
      <alignment horizontal="centerContinuous" vertical="top"/>
    </xf>
    <xf numFmtId="0" fontId="42" fillId="2" borderId="59" xfId="0" applyFont="1" applyFill="1" applyBorder="1" applyAlignment="1">
      <alignment horizontal="centerContinuous" vertical="top"/>
    </xf>
    <xf numFmtId="0" fontId="41" fillId="2" borderId="59" xfId="0" applyFont="1" applyFill="1" applyBorder="1" applyAlignment="1">
      <alignment horizontal="centerContinuous" vertical="top"/>
    </xf>
    <xf numFmtId="0" fontId="42" fillId="2" borderId="57" xfId="0" applyFont="1" applyFill="1" applyBorder="1" applyAlignment="1">
      <alignment horizontal="center" vertical="top"/>
    </xf>
    <xf numFmtId="0" fontId="41" fillId="2" borderId="60" xfId="0" applyFont="1" applyFill="1" applyBorder="1" applyAlignment="1">
      <alignment horizontal="centerContinuous" vertical="top"/>
    </xf>
    <xf numFmtId="0" fontId="42" fillId="2" borderId="0" xfId="0" applyFont="1" applyFill="1" applyAlignment="1">
      <alignment horizontal="left"/>
    </xf>
    <xf numFmtId="0" fontId="42" fillId="2" borderId="0" xfId="0" applyFont="1" applyFill="1" applyAlignment="1">
      <alignment horizontal="centerContinuous"/>
    </xf>
    <xf numFmtId="0" fontId="41" fillId="2" borderId="0" xfId="0" applyFont="1" applyFill="1" applyAlignment="1">
      <alignment horizontal="centerContinuous"/>
    </xf>
    <xf numFmtId="0" fontId="45" fillId="2" borderId="0" xfId="0" applyFont="1" applyFill="1" applyAlignment="1">
      <alignment horizontal="left"/>
    </xf>
    <xf numFmtId="0" fontId="45" fillId="2" borderId="0" xfId="0" applyFont="1" applyFill="1" applyAlignment="1">
      <alignment horizontal="left" vertical="center" indent="2"/>
    </xf>
    <xf numFmtId="0" fontId="42" fillId="0" borderId="13" xfId="0" applyFont="1" applyBorder="1" applyAlignment="1" applyProtection="1">
      <alignment horizontal="center"/>
      <protection locked="0"/>
    </xf>
    <xf numFmtId="0" fontId="46" fillId="2" borderId="0" xfId="0" applyFont="1" applyFill="1"/>
    <xf numFmtId="0" fontId="47" fillId="2" borderId="0" xfId="0" applyFont="1" applyFill="1"/>
    <xf numFmtId="0" fontId="43" fillId="2" borderId="0" xfId="0" applyFont="1" applyFill="1"/>
    <xf numFmtId="0" fontId="41" fillId="2" borderId="0" xfId="0" applyFont="1" applyFill="1" applyAlignment="1">
      <alignment horizontal="left"/>
    </xf>
    <xf numFmtId="14" fontId="42" fillId="0" borderId="13" xfId="0" applyNumberFormat="1" applyFont="1" applyBorder="1" applyAlignment="1" applyProtection="1">
      <alignment horizontal="center"/>
      <protection locked="0"/>
    </xf>
    <xf numFmtId="0" fontId="6" fillId="2" borderId="0" xfId="5" applyFont="1" applyFill="1" applyAlignment="1">
      <alignment horizontal="center"/>
    </xf>
    <xf numFmtId="164" fontId="10" fillId="0" borderId="13" xfId="0" applyNumberFormat="1" applyFont="1" applyBorder="1" applyAlignment="1" applyProtection="1">
      <alignment horizontal="center"/>
      <protection locked="0"/>
    </xf>
    <xf numFmtId="38" fontId="4" fillId="2" borderId="0" xfId="1" applyNumberFormat="1" applyFont="1" applyFill="1" applyProtection="1">
      <protection locked="0"/>
    </xf>
    <xf numFmtId="164" fontId="4" fillId="2" borderId="0" xfId="5" applyNumberFormat="1" applyFont="1" applyFill="1" applyProtection="1">
      <protection locked="0"/>
    </xf>
    <xf numFmtId="164" fontId="3" fillId="2" borderId="0" xfId="5" applyNumberFormat="1" applyFill="1" applyProtection="1">
      <protection locked="0"/>
    </xf>
    <xf numFmtId="0" fontId="5" fillId="2" borderId="14" xfId="16" applyFont="1" applyFill="1" applyBorder="1" applyAlignment="1">
      <alignment horizontal="left"/>
    </xf>
    <xf numFmtId="0" fontId="12" fillId="2" borderId="0" xfId="16" applyFont="1" applyFill="1"/>
    <xf numFmtId="0" fontId="12" fillId="2" borderId="0" xfId="16" applyFont="1" applyFill="1" applyAlignment="1">
      <alignment horizontal="right"/>
    </xf>
    <xf numFmtId="0" fontId="40" fillId="2" borderId="0" xfId="16" applyFont="1" applyFill="1" applyAlignment="1">
      <alignment horizontal="center"/>
    </xf>
    <xf numFmtId="38" fontId="6" fillId="0" borderId="13" xfId="19" applyNumberFormat="1" applyFont="1" applyFill="1" applyBorder="1" applyAlignment="1" applyProtection="1">
      <alignment horizontal="center"/>
      <protection locked="0"/>
    </xf>
    <xf numFmtId="0" fontId="12" fillId="2" borderId="0" xfId="16" applyFont="1" applyFill="1" applyAlignment="1">
      <alignment vertical="center"/>
    </xf>
    <xf numFmtId="38" fontId="6" fillId="0" borderId="13" xfId="1" applyNumberFormat="1" applyFont="1" applyFill="1" applyBorder="1" applyAlignment="1" applyProtection="1">
      <alignment horizontal="right" vertical="center"/>
      <protection locked="0"/>
    </xf>
    <xf numFmtId="38" fontId="12" fillId="2" borderId="0" xfId="1" applyNumberFormat="1" applyFont="1" applyFill="1" applyAlignment="1" applyProtection="1">
      <alignment vertical="center"/>
    </xf>
    <xf numFmtId="38" fontId="6" fillId="2" borderId="0" xfId="1" applyNumberFormat="1" applyFont="1" applyFill="1" applyBorder="1" applyAlignment="1" applyProtection="1">
      <alignment horizontal="right" vertical="center"/>
    </xf>
    <xf numFmtId="38" fontId="12" fillId="2" borderId="68" xfId="1" applyNumberFormat="1" applyFont="1" applyFill="1" applyBorder="1" applyAlignment="1" applyProtection="1">
      <alignment vertical="center"/>
    </xf>
    <xf numFmtId="38" fontId="6" fillId="2" borderId="66" xfId="1" applyNumberFormat="1" applyFont="1" applyFill="1" applyBorder="1" applyAlignment="1" applyProtection="1">
      <alignment horizontal="right" vertical="center"/>
    </xf>
    <xf numFmtId="38" fontId="6" fillId="0" borderId="13" xfId="1" applyNumberFormat="1" applyFont="1" applyFill="1" applyBorder="1" applyAlignment="1" applyProtection="1">
      <alignment horizontal="center"/>
      <protection locked="0"/>
    </xf>
    <xf numFmtId="38" fontId="6" fillId="2" borderId="0" xfId="19" applyNumberFormat="1" applyFont="1" applyFill="1" applyBorder="1" applyAlignment="1" applyProtection="1">
      <alignment horizontal="center"/>
    </xf>
    <xf numFmtId="38" fontId="4" fillId="2" borderId="0" xfId="1" applyNumberFormat="1" applyFont="1" applyFill="1" applyProtection="1"/>
    <xf numFmtId="164" fontId="3" fillId="2" borderId="0" xfId="5" applyNumberFormat="1" applyFill="1"/>
    <xf numFmtId="164" fontId="4" fillId="2" borderId="0" xfId="0" applyNumberFormat="1" applyFont="1" applyFill="1" applyAlignment="1">
      <alignment horizontal="center"/>
    </xf>
    <xf numFmtId="164" fontId="5" fillId="2" borderId="0" xfId="5" applyNumberFormat="1" applyFont="1" applyFill="1" applyProtection="1">
      <protection locked="0"/>
    </xf>
    <xf numFmtId="164" fontId="15" fillId="2" borderId="0" xfId="0" applyNumberFormat="1" applyFont="1" applyFill="1" applyAlignment="1">
      <alignment horizontal="center"/>
    </xf>
    <xf numFmtId="164" fontId="6" fillId="2" borderId="0" xfId="5" applyNumberFormat="1" applyFont="1" applyFill="1" applyAlignment="1" applyProtection="1">
      <alignment horizontal="center"/>
      <protection locked="0"/>
    </xf>
    <xf numFmtId="164" fontId="3" fillId="2" borderId="0" xfId="5" applyNumberFormat="1" applyFill="1" applyAlignment="1" applyProtection="1">
      <alignment horizontal="center"/>
      <protection locked="0"/>
    </xf>
    <xf numFmtId="164" fontId="2" fillId="2" borderId="0" xfId="5" applyNumberFormat="1" applyFont="1" applyFill="1" applyProtection="1">
      <protection locked="0"/>
    </xf>
    <xf numFmtId="164" fontId="5" fillId="2" borderId="0" xfId="5" applyNumberFormat="1" applyFont="1" applyFill="1" applyAlignment="1" applyProtection="1">
      <alignment horizontal="center"/>
      <protection locked="0"/>
    </xf>
    <xf numFmtId="38" fontId="5" fillId="2" borderId="0" xfId="1" applyNumberFormat="1" applyFont="1" applyFill="1" applyProtection="1">
      <protection locked="0"/>
    </xf>
    <xf numFmtId="164" fontId="14" fillId="2" borderId="0" xfId="5" applyNumberFormat="1" applyFont="1" applyFill="1" applyAlignment="1" applyProtection="1">
      <alignment horizontal="center"/>
      <protection locked="0"/>
    </xf>
    <xf numFmtId="164" fontId="6" fillId="2" borderId="0" xfId="5" applyNumberFormat="1" applyFont="1" applyFill="1" applyProtection="1">
      <protection locked="0"/>
    </xf>
    <xf numFmtId="38" fontId="6" fillId="2" borderId="0" xfId="1" applyNumberFormat="1" applyFont="1" applyFill="1" applyProtection="1">
      <protection locked="0"/>
    </xf>
    <xf numFmtId="164" fontId="11" fillId="2" borderId="0" xfId="5" applyNumberFormat="1" applyFont="1" applyFill="1" applyAlignment="1" applyProtection="1">
      <alignment horizontal="center"/>
      <protection locked="0"/>
    </xf>
    <xf numFmtId="164" fontId="11" fillId="2" borderId="0" xfId="5" applyNumberFormat="1" applyFont="1" applyFill="1" applyProtection="1">
      <protection locked="0"/>
    </xf>
    <xf numFmtId="164" fontId="4" fillId="2" borderId="0" xfId="5" applyNumberFormat="1" applyFont="1" applyFill="1" applyAlignment="1" applyProtection="1">
      <alignment horizontal="center"/>
      <protection locked="0"/>
    </xf>
    <xf numFmtId="38" fontId="4" fillId="2" borderId="0" xfId="1" applyNumberFormat="1" applyFont="1" applyFill="1" applyAlignment="1" applyProtection="1">
      <alignment horizontal="center"/>
      <protection locked="0"/>
    </xf>
    <xf numFmtId="164" fontId="16" fillId="2" borderId="21" xfId="0" applyNumberFormat="1" applyFont="1" applyFill="1" applyBorder="1" applyAlignment="1" applyProtection="1">
      <alignment horizontal="right"/>
      <protection locked="0"/>
    </xf>
    <xf numFmtId="164" fontId="5" fillId="2" borderId="0" xfId="5" applyNumberFormat="1" applyFont="1" applyFill="1" applyAlignment="1" applyProtection="1">
      <alignment horizontal="left"/>
      <protection locked="0"/>
    </xf>
    <xf numFmtId="164" fontId="16" fillId="2" borderId="0" xfId="0" applyNumberFormat="1" applyFont="1" applyFill="1" applyAlignment="1" applyProtection="1">
      <alignment horizontal="right"/>
      <protection locked="0"/>
    </xf>
    <xf numFmtId="164" fontId="6" fillId="0" borderId="13" xfId="5" applyNumberFormat="1" applyFont="1" applyBorder="1" applyProtection="1">
      <protection locked="0"/>
    </xf>
    <xf numFmtId="38" fontId="4" fillId="2" borderId="0" xfId="5" applyNumberFormat="1" applyFont="1" applyFill="1"/>
    <xf numFmtId="10" fontId="42" fillId="0" borderId="13" xfId="7" applyNumberFormat="1" applyFont="1" applyFill="1" applyBorder="1" applyAlignment="1" applyProtection="1">
      <alignment horizontal="center" vertical="center" wrapText="1"/>
      <protection locked="0"/>
    </xf>
    <xf numFmtId="0" fontId="42" fillId="0" borderId="13" xfId="0" applyFont="1" applyBorder="1" applyAlignment="1" applyProtection="1">
      <alignment horizontal="left"/>
      <protection locked="0"/>
    </xf>
    <xf numFmtId="164" fontId="6" fillId="2" borderId="13" xfId="0" applyNumberFormat="1" applyFont="1" applyFill="1" applyBorder="1" applyAlignment="1" applyProtection="1">
      <alignment horizontal="right"/>
      <protection locked="0"/>
    </xf>
    <xf numFmtId="0" fontId="42" fillId="2" borderId="0" xfId="0" applyFont="1" applyFill="1" applyAlignment="1">
      <alignment vertical="center"/>
    </xf>
    <xf numFmtId="0" fontId="4" fillId="2" borderId="0" xfId="5" applyFont="1" applyFill="1" applyAlignment="1">
      <alignment wrapText="1"/>
    </xf>
    <xf numFmtId="10" fontId="6" fillId="0" borderId="67" xfId="7" applyNumberFormat="1" applyFont="1" applyBorder="1" applyProtection="1">
      <protection locked="0"/>
    </xf>
    <xf numFmtId="0" fontId="6" fillId="2" borderId="47" xfId="4" applyFont="1" applyFill="1" applyBorder="1" applyAlignment="1">
      <alignment horizontal="center"/>
    </xf>
    <xf numFmtId="0" fontId="6" fillId="2" borderId="8" xfId="4" applyFont="1" applyFill="1" applyBorder="1" applyAlignment="1">
      <alignment horizontal="center"/>
    </xf>
    <xf numFmtId="0" fontId="6" fillId="2" borderId="48" xfId="4" applyFont="1" applyFill="1" applyBorder="1" applyAlignment="1">
      <alignment horizontal="center"/>
    </xf>
    <xf numFmtId="0" fontId="6" fillId="2" borderId="49" xfId="4" applyFont="1" applyFill="1" applyBorder="1" applyAlignment="1">
      <alignment horizontal="center"/>
    </xf>
    <xf numFmtId="0" fontId="6" fillId="2" borderId="11" xfId="4" applyFont="1" applyFill="1" applyBorder="1" applyAlignment="1">
      <alignment horizontal="center"/>
    </xf>
    <xf numFmtId="0" fontId="6" fillId="2" borderId="41" xfId="4" applyFont="1" applyFill="1" applyBorder="1" applyAlignment="1">
      <alignment horizontal="center"/>
    </xf>
    <xf numFmtId="0" fontId="6" fillId="2" borderId="50" xfId="4" applyFont="1" applyFill="1" applyBorder="1" applyAlignment="1">
      <alignment horizontal="center"/>
    </xf>
    <xf numFmtId="0" fontId="6" fillId="2" borderId="51" xfId="4" applyFont="1" applyFill="1" applyBorder="1" applyAlignment="1">
      <alignment horizontal="center"/>
    </xf>
    <xf numFmtId="1" fontId="6" fillId="2" borderId="13" xfId="4" applyNumberFormat="1" applyFont="1" applyFill="1" applyBorder="1" applyAlignment="1">
      <alignment horizontal="center"/>
    </xf>
    <xf numFmtId="3" fontId="6" fillId="2" borderId="13" xfId="4" applyNumberFormat="1" applyFont="1" applyFill="1" applyBorder="1"/>
    <xf numFmtId="3" fontId="6" fillId="0" borderId="13" xfId="4" applyNumberFormat="1" applyFont="1" applyBorder="1" applyProtection="1">
      <protection locked="0"/>
    </xf>
    <xf numFmtId="0" fontId="6" fillId="2" borderId="71" xfId="5" applyFont="1" applyFill="1" applyBorder="1" applyAlignment="1">
      <alignment horizontal="left"/>
    </xf>
    <xf numFmtId="0" fontId="6" fillId="2" borderId="72" xfId="5" applyFont="1" applyFill="1" applyBorder="1" applyAlignment="1">
      <alignment horizontal="right"/>
    </xf>
    <xf numFmtId="38" fontId="6" fillId="2" borderId="74" xfId="5" applyNumberFormat="1" applyFont="1" applyFill="1" applyBorder="1"/>
    <xf numFmtId="0" fontId="6" fillId="2" borderId="73" xfId="5" applyFont="1" applyFill="1" applyBorder="1"/>
    <xf numFmtId="0" fontId="45" fillId="2" borderId="0" xfId="0" applyFont="1" applyFill="1" applyAlignment="1">
      <alignment horizontal="right" indent="1"/>
    </xf>
    <xf numFmtId="0" fontId="2" fillId="2" borderId="0" xfId="0" applyFont="1" applyFill="1"/>
    <xf numFmtId="0" fontId="4" fillId="2" borderId="38" xfId="5" applyFont="1" applyFill="1" applyBorder="1" applyAlignment="1">
      <alignment horizontal="left"/>
    </xf>
    <xf numFmtId="0" fontId="37" fillId="2" borderId="0" xfId="5" applyFont="1" applyFill="1" applyAlignment="1">
      <alignment horizontal="center"/>
    </xf>
    <xf numFmtId="0" fontId="4" fillId="2" borderId="0" xfId="5" applyFont="1" applyFill="1" applyAlignment="1">
      <alignment horizontal="left" indent="1"/>
    </xf>
    <xf numFmtId="3" fontId="6" fillId="3" borderId="0" xfId="9" applyNumberFormat="1" applyFont="1" applyFill="1"/>
    <xf numFmtId="0" fontId="6" fillId="3" borderId="0" xfId="9" applyFont="1" applyFill="1" applyAlignment="1">
      <alignment horizontal="left" vertical="center"/>
    </xf>
    <xf numFmtId="0" fontId="10" fillId="3" borderId="0" xfId="9" applyFont="1" applyFill="1" applyAlignment="1">
      <alignment horizontal="left"/>
    </xf>
    <xf numFmtId="0" fontId="6" fillId="3" borderId="0" xfId="9" applyFont="1" applyFill="1"/>
    <xf numFmtId="0" fontId="6" fillId="3" borderId="0" xfId="9" applyFont="1" applyFill="1" applyAlignment="1">
      <alignment horizontal="right"/>
    </xf>
    <xf numFmtId="0" fontId="6" fillId="3" borderId="0" xfId="9" applyFont="1" applyFill="1" applyAlignment="1">
      <alignment horizontal="left"/>
    </xf>
    <xf numFmtId="165" fontId="6" fillId="3" borderId="0" xfId="9" applyNumberFormat="1" applyFont="1" applyFill="1" applyAlignment="1">
      <alignment horizontal="center"/>
    </xf>
    <xf numFmtId="0" fontId="6" fillId="3" borderId="0" xfId="9" applyFont="1" applyFill="1" applyAlignment="1">
      <alignment horizontal="centerContinuous"/>
    </xf>
    <xf numFmtId="0" fontId="6" fillId="3" borderId="9" xfId="9" applyFont="1" applyFill="1" applyBorder="1"/>
    <xf numFmtId="4" fontId="6" fillId="3" borderId="10" xfId="10" applyFont="1" applyFill="1" applyBorder="1" applyProtection="1"/>
    <xf numFmtId="173" fontId="6" fillId="3" borderId="0" xfId="11" applyNumberFormat="1" applyFont="1" applyFill="1" applyBorder="1" applyAlignment="1" applyProtection="1">
      <alignment horizontal="right"/>
    </xf>
    <xf numFmtId="10" fontId="6" fillId="3" borderId="0" xfId="9" applyNumberFormat="1" applyFont="1" applyFill="1"/>
    <xf numFmtId="10" fontId="6" fillId="3" borderId="10" xfId="9" applyNumberFormat="1" applyFont="1" applyFill="1" applyBorder="1"/>
    <xf numFmtId="37" fontId="6" fillId="3" borderId="0" xfId="9" applyNumberFormat="1" applyFont="1" applyFill="1"/>
    <xf numFmtId="10" fontId="6" fillId="3" borderId="10" xfId="11" applyNumberFormat="1" applyFont="1" applyFill="1" applyBorder="1" applyProtection="1"/>
    <xf numFmtId="0" fontId="6" fillId="3" borderId="22" xfId="9" applyFont="1" applyFill="1" applyBorder="1"/>
    <xf numFmtId="3" fontId="6" fillId="3" borderId="5" xfId="9" applyNumberFormat="1" applyFont="1" applyFill="1" applyBorder="1"/>
    <xf numFmtId="3" fontId="6" fillId="3" borderId="20" xfId="9" applyNumberFormat="1" applyFont="1" applyFill="1" applyBorder="1"/>
    <xf numFmtId="0" fontId="6" fillId="3" borderId="5" xfId="9" applyFont="1" applyFill="1" applyBorder="1"/>
    <xf numFmtId="10" fontId="6" fillId="3" borderId="5" xfId="9" applyNumberFormat="1" applyFont="1" applyFill="1" applyBorder="1"/>
    <xf numFmtId="10" fontId="6" fillId="3" borderId="20" xfId="9" applyNumberFormat="1" applyFont="1" applyFill="1" applyBorder="1"/>
    <xf numFmtId="2" fontId="6" fillId="3" borderId="0" xfId="9" applyNumberFormat="1" applyFont="1" applyFill="1"/>
    <xf numFmtId="4" fontId="6" fillId="3" borderId="0" xfId="9" applyNumberFormat="1" applyFont="1" applyFill="1"/>
    <xf numFmtId="4" fontId="6" fillId="3" borderId="10" xfId="9" applyNumberFormat="1" applyFont="1" applyFill="1" applyBorder="1"/>
    <xf numFmtId="9" fontId="6" fillId="3" borderId="0" xfId="9" applyNumberFormat="1" applyFont="1" applyFill="1"/>
    <xf numFmtId="9" fontId="6" fillId="3" borderId="10" xfId="9" applyNumberFormat="1" applyFont="1" applyFill="1" applyBorder="1"/>
    <xf numFmtId="2" fontId="25" fillId="3" borderId="10" xfId="9" applyNumberFormat="1" applyFont="1" applyFill="1" applyBorder="1"/>
    <xf numFmtId="5" fontId="6" fillId="3" borderId="0" xfId="9" applyNumberFormat="1" applyFont="1" applyFill="1"/>
    <xf numFmtId="3" fontId="6" fillId="3" borderId="22" xfId="9" applyNumberFormat="1" applyFont="1" applyFill="1" applyBorder="1"/>
    <xf numFmtId="3" fontId="10" fillId="3" borderId="5" xfId="9" applyNumberFormat="1" applyFont="1" applyFill="1" applyBorder="1" applyAlignment="1">
      <alignment horizontal="center"/>
    </xf>
    <xf numFmtId="3" fontId="6" fillId="3" borderId="5" xfId="9" applyNumberFormat="1" applyFont="1" applyFill="1" applyBorder="1" applyAlignment="1">
      <alignment horizontal="right"/>
    </xf>
    <xf numFmtId="3" fontId="10" fillId="3" borderId="20" xfId="9" applyNumberFormat="1" applyFont="1" applyFill="1" applyBorder="1" applyAlignment="1">
      <alignment horizontal="right"/>
    </xf>
    <xf numFmtId="3" fontId="6" fillId="3" borderId="9" xfId="9" applyNumberFormat="1" applyFont="1" applyFill="1" applyBorder="1"/>
    <xf numFmtId="3" fontId="6" fillId="3" borderId="0" xfId="9" applyNumberFormat="1" applyFont="1" applyFill="1" applyAlignment="1">
      <alignment horizontal="right"/>
    </xf>
    <xf numFmtId="3" fontId="6" fillId="3" borderId="10" xfId="9" applyNumberFormat="1" applyFont="1" applyFill="1" applyBorder="1"/>
    <xf numFmtId="3" fontId="6" fillId="3" borderId="61" xfId="9" applyNumberFormat="1" applyFont="1" applyFill="1" applyBorder="1"/>
    <xf numFmtId="3" fontId="6" fillId="3" borderId="61" xfId="9" applyNumberFormat="1" applyFont="1" applyFill="1" applyBorder="1" applyAlignment="1">
      <alignment horizontal="right"/>
    </xf>
    <xf numFmtId="3" fontId="6" fillId="3" borderId="62" xfId="9" applyNumberFormat="1" applyFont="1" applyFill="1" applyBorder="1"/>
    <xf numFmtId="3" fontId="10" fillId="3" borderId="9" xfId="9" applyNumberFormat="1" applyFont="1" applyFill="1" applyBorder="1"/>
    <xf numFmtId="3" fontId="10" fillId="3" borderId="0" xfId="9" applyNumberFormat="1" applyFont="1" applyFill="1"/>
    <xf numFmtId="3" fontId="10" fillId="3" borderId="10" xfId="9" applyNumberFormat="1" applyFont="1" applyFill="1" applyBorder="1"/>
    <xf numFmtId="10" fontId="6" fillId="3" borderId="0" xfId="11" applyNumberFormat="1" applyFont="1" applyFill="1" applyBorder="1" applyProtection="1"/>
    <xf numFmtId="0" fontId="10" fillId="3" borderId="0" xfId="9" applyFont="1" applyFill="1"/>
    <xf numFmtId="3" fontId="10" fillId="3" borderId="20" xfId="12" applyNumberFormat="1" applyFont="1" applyFill="1" applyBorder="1" applyProtection="1"/>
    <xf numFmtId="0" fontId="6" fillId="3" borderId="10" xfId="9" applyFont="1" applyFill="1" applyBorder="1"/>
    <xf numFmtId="0" fontId="10" fillId="3" borderId="9" xfId="9" applyFont="1" applyFill="1" applyBorder="1"/>
    <xf numFmtId="0" fontId="10" fillId="3" borderId="10" xfId="9" applyFont="1" applyFill="1" applyBorder="1"/>
    <xf numFmtId="0" fontId="6" fillId="3" borderId="20" xfId="9" applyFont="1" applyFill="1" applyBorder="1"/>
    <xf numFmtId="0" fontId="24" fillId="3" borderId="0" xfId="9" applyFont="1" applyFill="1"/>
    <xf numFmtId="173" fontId="6" fillId="3" borderId="10" xfId="11" applyNumberFormat="1" applyFont="1" applyFill="1" applyBorder="1" applyProtection="1"/>
    <xf numFmtId="173" fontId="6" fillId="3" borderId="20" xfId="11" applyNumberFormat="1" applyFont="1" applyFill="1" applyBorder="1" applyProtection="1"/>
    <xf numFmtId="3" fontId="10" fillId="3" borderId="22" xfId="9" applyNumberFormat="1" applyFont="1" applyFill="1" applyBorder="1"/>
    <xf numFmtId="3" fontId="10" fillId="3" borderId="5" xfId="9" applyNumberFormat="1" applyFont="1" applyFill="1" applyBorder="1"/>
    <xf numFmtId="3" fontId="10" fillId="3" borderId="20" xfId="9" applyNumberFormat="1" applyFont="1" applyFill="1" applyBorder="1"/>
    <xf numFmtId="3" fontId="23" fillId="3" borderId="0" xfId="10" applyNumberFormat="1" applyFont="1" applyFill="1" applyAlignment="1" applyProtection="1">
      <alignment horizontal="left" indent="1"/>
    </xf>
    <xf numFmtId="38" fontId="23" fillId="3" borderId="0" xfId="1" applyNumberFormat="1" applyFont="1" applyFill="1" applyProtection="1"/>
    <xf numFmtId="37" fontId="6" fillId="3" borderId="0" xfId="9" applyNumberFormat="1" applyFont="1" applyFill="1" applyAlignment="1">
      <alignment horizontal="right"/>
    </xf>
    <xf numFmtId="3" fontId="10" fillId="3" borderId="0" xfId="9" applyNumberFormat="1" applyFont="1" applyFill="1" applyAlignment="1">
      <alignment horizontal="right"/>
    </xf>
    <xf numFmtId="0" fontId="10" fillId="3" borderId="0" xfId="9" applyFont="1" applyFill="1" applyAlignment="1">
      <alignment horizontal="centerContinuous"/>
    </xf>
    <xf numFmtId="3" fontId="6" fillId="3" borderId="0" xfId="9" applyNumberFormat="1" applyFont="1" applyFill="1" applyAlignment="1">
      <alignment horizontal="centerContinuous"/>
    </xf>
    <xf numFmtId="14" fontId="10" fillId="3" borderId="0" xfId="9" applyNumberFormat="1" applyFont="1" applyFill="1" applyAlignment="1">
      <alignment horizontal="centerContinuous"/>
    </xf>
    <xf numFmtId="3" fontId="10" fillId="3" borderId="0" xfId="9" applyNumberFormat="1" applyFont="1" applyFill="1" applyAlignment="1">
      <alignment horizontal="center"/>
    </xf>
    <xf numFmtId="3" fontId="6" fillId="3" borderId="10" xfId="9" applyNumberFormat="1" applyFont="1" applyFill="1" applyBorder="1" applyAlignment="1">
      <alignment horizontal="right"/>
    </xf>
    <xf numFmtId="3" fontId="10" fillId="3" borderId="22" xfId="9" applyNumberFormat="1" applyFont="1" applyFill="1" applyBorder="1" applyAlignment="1">
      <alignment horizontal="left"/>
    </xf>
    <xf numFmtId="3" fontId="10" fillId="3" borderId="5" xfId="9" applyNumberFormat="1" applyFont="1" applyFill="1" applyBorder="1" applyAlignment="1">
      <alignment horizontal="right"/>
    </xf>
    <xf numFmtId="9" fontId="10" fillId="3" borderId="5" xfId="7" applyFont="1" applyFill="1" applyBorder="1" applyAlignment="1" applyProtection="1">
      <alignment horizontal="center"/>
    </xf>
    <xf numFmtId="171" fontId="10" fillId="3" borderId="5" xfId="9" applyNumberFormat="1" applyFont="1" applyFill="1" applyBorder="1" applyAlignment="1">
      <alignment horizontal="right"/>
    </xf>
    <xf numFmtId="171" fontId="10" fillId="3" borderId="5" xfId="9" applyNumberFormat="1" applyFont="1" applyFill="1" applyBorder="1" applyAlignment="1">
      <alignment horizontal="center"/>
    </xf>
    <xf numFmtId="0" fontId="10" fillId="3" borderId="22" xfId="9" applyFont="1" applyFill="1" applyBorder="1"/>
    <xf numFmtId="0" fontId="6" fillId="3" borderId="5" xfId="9" applyFont="1" applyFill="1" applyBorder="1" applyAlignment="1">
      <alignment horizontal="right"/>
    </xf>
    <xf numFmtId="0" fontId="6" fillId="3" borderId="20" xfId="9" applyFont="1" applyFill="1" applyBorder="1" applyAlignment="1">
      <alignment horizontal="right"/>
    </xf>
    <xf numFmtId="5" fontId="6" fillId="3" borderId="22" xfId="9" applyNumberFormat="1" applyFont="1" applyFill="1" applyBorder="1"/>
    <xf numFmtId="5" fontId="6" fillId="3" borderId="5" xfId="9" applyNumberFormat="1" applyFont="1" applyFill="1" applyBorder="1"/>
    <xf numFmtId="5" fontId="6" fillId="3" borderId="5" xfId="9" applyNumberFormat="1" applyFont="1" applyFill="1" applyBorder="1" applyAlignment="1">
      <alignment horizontal="center"/>
    </xf>
    <xf numFmtId="5" fontId="6" fillId="3" borderId="5" xfId="9" applyNumberFormat="1" applyFont="1" applyFill="1" applyBorder="1" applyAlignment="1">
      <alignment horizontal="left"/>
    </xf>
    <xf numFmtId="37" fontId="6" fillId="3" borderId="10" xfId="9" applyNumberFormat="1" applyFont="1" applyFill="1" applyBorder="1"/>
    <xf numFmtId="0" fontId="6" fillId="3" borderId="0" xfId="9" applyFont="1" applyFill="1" applyAlignment="1">
      <alignment horizontal="center"/>
    </xf>
    <xf numFmtId="5" fontId="6" fillId="3" borderId="9" xfId="9" applyNumberFormat="1" applyFont="1" applyFill="1" applyBorder="1"/>
    <xf numFmtId="1" fontId="6" fillId="3" borderId="0" xfId="9" applyNumberFormat="1" applyFont="1" applyFill="1" applyAlignment="1">
      <alignment horizontal="center"/>
    </xf>
    <xf numFmtId="5" fontId="6" fillId="3" borderId="0" xfId="9" applyNumberFormat="1" applyFont="1" applyFill="1" applyAlignment="1">
      <alignment horizontal="left"/>
    </xf>
    <xf numFmtId="37" fontId="6" fillId="3" borderId="0" xfId="9" applyNumberFormat="1" applyFont="1" applyFill="1" applyAlignment="1">
      <alignment horizontal="center"/>
    </xf>
    <xf numFmtId="37" fontId="6" fillId="3" borderId="10" xfId="9" applyNumberFormat="1" applyFont="1" applyFill="1" applyBorder="1" applyAlignment="1">
      <alignment horizontal="center"/>
    </xf>
    <xf numFmtId="3" fontId="6" fillId="3" borderId="0" xfId="10" applyNumberFormat="1" applyFont="1" applyFill="1" applyProtection="1"/>
    <xf numFmtId="38" fontId="6" fillId="3" borderId="10" xfId="10" applyNumberFormat="1" applyFont="1" applyFill="1" applyBorder="1" applyProtection="1"/>
    <xf numFmtId="37" fontId="6" fillId="3" borderId="20" xfId="9" applyNumberFormat="1" applyFont="1" applyFill="1" applyBorder="1"/>
    <xf numFmtId="3" fontId="6" fillId="3" borderId="10" xfId="10" applyNumberFormat="1" applyFont="1" applyFill="1" applyBorder="1" applyProtection="1"/>
    <xf numFmtId="37" fontId="6" fillId="3" borderId="0" xfId="9" applyNumberFormat="1" applyFont="1" applyFill="1" applyAlignment="1">
      <alignment horizontal="centerContinuous"/>
    </xf>
    <xf numFmtId="37" fontId="6" fillId="3" borderId="10" xfId="9" applyNumberFormat="1" applyFont="1" applyFill="1" applyBorder="1" applyAlignment="1">
      <alignment horizontal="centerContinuous"/>
    </xf>
    <xf numFmtId="8" fontId="6" fillId="3" borderId="0" xfId="12" applyFont="1" applyFill="1" applyBorder="1" applyProtection="1"/>
    <xf numFmtId="5" fontId="6" fillId="3" borderId="0" xfId="9" applyNumberFormat="1" applyFont="1" applyFill="1" applyAlignment="1">
      <alignment horizontal="center"/>
    </xf>
    <xf numFmtId="37" fontId="6" fillId="3" borderId="5" xfId="9" applyNumberFormat="1" applyFont="1" applyFill="1" applyBorder="1" applyAlignment="1">
      <alignment horizontal="right"/>
    </xf>
    <xf numFmtId="37" fontId="6" fillId="3" borderId="5" xfId="9" applyNumberFormat="1" applyFont="1" applyFill="1" applyBorder="1"/>
    <xf numFmtId="0" fontId="6" fillId="3" borderId="10" xfId="9" applyFont="1" applyFill="1" applyBorder="1" applyAlignment="1">
      <alignment horizontal="center"/>
    </xf>
    <xf numFmtId="0" fontId="6" fillId="3" borderId="11" xfId="9" applyFont="1" applyFill="1" applyBorder="1"/>
    <xf numFmtId="0" fontId="6" fillId="3" borderId="9" xfId="9" applyFont="1" applyFill="1" applyBorder="1" applyAlignment="1">
      <alignment horizontal="right"/>
    </xf>
    <xf numFmtId="0" fontId="6" fillId="3" borderId="11" xfId="9" applyFont="1" applyFill="1" applyBorder="1" applyAlignment="1">
      <alignment horizontal="center"/>
    </xf>
    <xf numFmtId="0" fontId="6" fillId="3" borderId="10" xfId="9" applyFont="1" applyFill="1" applyBorder="1" applyAlignment="1">
      <alignment horizontal="right"/>
    </xf>
    <xf numFmtId="0" fontId="6" fillId="3" borderId="9" xfId="9" applyFont="1" applyFill="1" applyBorder="1" applyAlignment="1">
      <alignment horizontal="left"/>
    </xf>
    <xf numFmtId="0" fontId="6" fillId="3" borderId="0" xfId="9" applyFont="1" applyFill="1" applyAlignment="1">
      <alignment horizontal="left" indent="1"/>
    </xf>
    <xf numFmtId="0" fontId="6" fillId="3" borderId="27" xfId="9" applyFont="1" applyFill="1" applyBorder="1" applyAlignment="1">
      <alignment horizontal="center"/>
    </xf>
    <xf numFmtId="38" fontId="6" fillId="3" borderId="0" xfId="1" applyNumberFormat="1" applyFont="1" applyFill="1" applyBorder="1" applyProtection="1"/>
    <xf numFmtId="38" fontId="6" fillId="3" borderId="10" xfId="1" applyNumberFormat="1" applyFont="1" applyFill="1" applyBorder="1" applyProtection="1"/>
    <xf numFmtId="0" fontId="9" fillId="3" borderId="0" xfId="9" applyFont="1" applyFill="1"/>
    <xf numFmtId="9" fontId="6" fillId="3" borderId="0" xfId="11" applyFont="1" applyFill="1" applyAlignment="1" applyProtection="1">
      <alignment horizontal="center"/>
    </xf>
    <xf numFmtId="38" fontId="6" fillId="3" borderId="5" xfId="1" applyNumberFormat="1" applyFont="1" applyFill="1" applyBorder="1" applyProtection="1"/>
    <xf numFmtId="38" fontId="6" fillId="3" borderId="20" xfId="1" applyNumberFormat="1" applyFont="1" applyFill="1" applyBorder="1" applyProtection="1"/>
    <xf numFmtId="0" fontId="6" fillId="3" borderId="5" xfId="9" applyFont="1" applyFill="1" applyBorder="1" applyAlignment="1">
      <alignment horizontal="center"/>
    </xf>
    <xf numFmtId="4" fontId="6" fillId="3" borderId="0" xfId="10" applyFont="1" applyFill="1" applyProtection="1"/>
    <xf numFmtId="169" fontId="6" fillId="3" borderId="0" xfId="10" applyNumberFormat="1" applyFont="1" applyFill="1" applyProtection="1"/>
    <xf numFmtId="0" fontId="6" fillId="3" borderId="0" xfId="9" applyFont="1" applyFill="1" applyAlignment="1">
      <alignment horizontal="right" indent="1"/>
    </xf>
    <xf numFmtId="170" fontId="6" fillId="3" borderId="0" xfId="10" applyNumberFormat="1" applyFont="1" applyFill="1" applyProtection="1"/>
    <xf numFmtId="39" fontId="10" fillId="3" borderId="0" xfId="9" applyNumberFormat="1" applyFont="1" applyFill="1"/>
    <xf numFmtId="9" fontId="6" fillId="3" borderId="20" xfId="9" applyNumberFormat="1" applyFont="1" applyFill="1" applyBorder="1"/>
    <xf numFmtId="3" fontId="6" fillId="3" borderId="0" xfId="10" applyNumberFormat="1" applyFont="1" applyFill="1" applyBorder="1" applyProtection="1"/>
    <xf numFmtId="3" fontId="6" fillId="3" borderId="0" xfId="9" applyNumberFormat="1" applyFont="1" applyFill="1" applyAlignment="1">
      <alignment horizontal="center"/>
    </xf>
    <xf numFmtId="168" fontId="6" fillId="3" borderId="5" xfId="9" applyNumberFormat="1" applyFont="1" applyFill="1" applyBorder="1"/>
    <xf numFmtId="38" fontId="6" fillId="3" borderId="0" xfId="9" applyNumberFormat="1" applyFont="1" applyFill="1"/>
    <xf numFmtId="38" fontId="6" fillId="3" borderId="10" xfId="9" applyNumberFormat="1" applyFont="1" applyFill="1" applyBorder="1"/>
    <xf numFmtId="0" fontId="6" fillId="3" borderId="9" xfId="9" applyFont="1" applyFill="1" applyBorder="1" applyAlignment="1">
      <alignment horizontal="centerContinuous"/>
    </xf>
    <xf numFmtId="0" fontId="6" fillId="3" borderId="10" xfId="9" applyFont="1" applyFill="1" applyBorder="1" applyAlignment="1">
      <alignment horizontal="centerContinuous"/>
    </xf>
    <xf numFmtId="40" fontId="6" fillId="3" borderId="0" xfId="10" applyNumberFormat="1" applyFont="1" applyFill="1" applyBorder="1" applyProtection="1"/>
    <xf numFmtId="40" fontId="6" fillId="3" borderId="10" xfId="10" applyNumberFormat="1" applyFont="1" applyFill="1" applyBorder="1" applyProtection="1"/>
    <xf numFmtId="38" fontId="6" fillId="3" borderId="0" xfId="10" applyNumberFormat="1" applyFont="1" applyFill="1" applyBorder="1" applyProtection="1"/>
    <xf numFmtId="38" fontId="6" fillId="3" borderId="5" xfId="9" applyNumberFormat="1" applyFont="1" applyFill="1" applyBorder="1"/>
    <xf numFmtId="38" fontId="6" fillId="3" borderId="20" xfId="9" applyNumberFormat="1" applyFont="1" applyFill="1" applyBorder="1"/>
    <xf numFmtId="4" fontId="6" fillId="3" borderId="0" xfId="10" applyFont="1" applyFill="1" applyBorder="1" applyProtection="1"/>
    <xf numFmtId="38" fontId="6" fillId="3" borderId="5" xfId="10" applyNumberFormat="1" applyFont="1" applyFill="1" applyBorder="1" applyProtection="1"/>
    <xf numFmtId="0" fontId="6" fillId="3" borderId="0" xfId="0" applyFont="1" applyFill="1"/>
    <xf numFmtId="0" fontId="0" fillId="3" borderId="0" xfId="0" applyFill="1"/>
    <xf numFmtId="9" fontId="6" fillId="0" borderId="13" xfId="7" applyFont="1" applyFill="1" applyBorder="1" applyAlignment="1" applyProtection="1">
      <alignment horizontal="right"/>
      <protection locked="0"/>
    </xf>
    <xf numFmtId="49" fontId="6" fillId="3" borderId="26" xfId="18" applyNumberFormat="1" applyFont="1" applyFill="1" applyBorder="1" applyAlignment="1" applyProtection="1">
      <alignment wrapText="1"/>
      <protection locked="0"/>
    </xf>
    <xf numFmtId="49" fontId="6" fillId="3" borderId="26" xfId="18" applyNumberFormat="1" applyFont="1" applyFill="1" applyBorder="1" applyProtection="1">
      <protection locked="0"/>
    </xf>
    <xf numFmtId="38" fontId="6" fillId="3" borderId="0" xfId="9" applyNumberFormat="1" applyFont="1" applyFill="1" applyAlignment="1">
      <alignment horizontal="left" indent="1"/>
    </xf>
    <xf numFmtId="0" fontId="23" fillId="3" borderId="0" xfId="9" applyFont="1" applyFill="1" applyAlignment="1">
      <alignment horizontal="left" indent="4"/>
    </xf>
    <xf numFmtId="9" fontId="23" fillId="3" borderId="0" xfId="7" applyFont="1" applyFill="1" applyAlignment="1" applyProtection="1">
      <alignment horizontal="left"/>
    </xf>
    <xf numFmtId="0" fontId="6" fillId="3" borderId="72" xfId="9" applyFont="1" applyFill="1" applyBorder="1"/>
    <xf numFmtId="38" fontId="6" fillId="3" borderId="0" xfId="1" applyNumberFormat="1" applyFont="1" applyFill="1" applyProtection="1"/>
    <xf numFmtId="0" fontId="3" fillId="0" borderId="0" xfId="0" applyFont="1" applyAlignment="1">
      <alignment horizontal="right"/>
    </xf>
    <xf numFmtId="3" fontId="51" fillId="3" borderId="0" xfId="10" applyNumberFormat="1" applyFont="1" applyFill="1" applyProtection="1"/>
    <xf numFmtId="38" fontId="35" fillId="2" borderId="0" xfId="1" applyNumberFormat="1" applyFont="1" applyFill="1" applyAlignment="1" applyProtection="1">
      <alignment horizontal="right"/>
    </xf>
    <xf numFmtId="0" fontId="44" fillId="2" borderId="0" xfId="0" applyFont="1" applyFill="1" applyAlignment="1">
      <alignment horizontal="right"/>
    </xf>
    <xf numFmtId="164" fontId="52" fillId="2" borderId="0" xfId="5" applyNumberFormat="1" applyFont="1" applyFill="1" applyAlignment="1">
      <alignment horizontal="right"/>
    </xf>
    <xf numFmtId="164" fontId="52" fillId="2" borderId="0" xfId="5" applyNumberFormat="1" applyFont="1" applyFill="1" applyAlignment="1" applyProtection="1">
      <alignment horizontal="right"/>
      <protection locked="0"/>
    </xf>
    <xf numFmtId="38" fontId="10" fillId="2" borderId="0" xfId="5" applyNumberFormat="1" applyFont="1" applyFill="1" applyAlignment="1">
      <alignment horizontal="right"/>
    </xf>
    <xf numFmtId="0" fontId="5" fillId="2" borderId="0" xfId="5" applyFont="1" applyFill="1" applyAlignment="1">
      <alignment horizontal="right"/>
    </xf>
    <xf numFmtId="0" fontId="5" fillId="2" borderId="0" xfId="18" applyFont="1" applyFill="1"/>
    <xf numFmtId="0" fontId="4" fillId="2" borderId="0" xfId="18" applyFill="1"/>
    <xf numFmtId="0" fontId="5" fillId="2" borderId="0" xfId="18" applyFont="1" applyFill="1" applyAlignment="1">
      <alignment horizontal="right"/>
    </xf>
    <xf numFmtId="0" fontId="4" fillId="2" borderId="14" xfId="18" applyFill="1" applyBorder="1"/>
    <xf numFmtId="0" fontId="5" fillId="2" borderId="14" xfId="18" applyFont="1" applyFill="1" applyBorder="1"/>
    <xf numFmtId="0" fontId="4" fillId="2" borderId="14" xfId="18" applyFill="1" applyBorder="1" applyAlignment="1">
      <alignment horizontal="right"/>
    </xf>
    <xf numFmtId="49" fontId="12" fillId="2" borderId="0" xfId="18" applyNumberFormat="1" applyFont="1" applyFill="1"/>
    <xf numFmtId="0" fontId="12" fillId="2" borderId="0" xfId="18" applyFont="1" applyFill="1"/>
    <xf numFmtId="49" fontId="6" fillId="2" borderId="0" xfId="18" applyNumberFormat="1" applyFont="1" applyFill="1"/>
    <xf numFmtId="49" fontId="6" fillId="2" borderId="63" xfId="18" applyNumberFormat="1" applyFont="1" applyFill="1" applyBorder="1"/>
    <xf numFmtId="0" fontId="12" fillId="2" borderId="63" xfId="18" applyFont="1" applyFill="1" applyBorder="1"/>
    <xf numFmtId="0" fontId="12" fillId="2" borderId="63" xfId="18" applyFont="1" applyFill="1" applyBorder="1" applyAlignment="1">
      <alignment horizontal="center"/>
    </xf>
    <xf numFmtId="0" fontId="4" fillId="2" borderId="75" xfId="18" applyFill="1" applyBorder="1" applyAlignment="1">
      <alignment horizontal="centerContinuous"/>
    </xf>
    <xf numFmtId="0" fontId="4" fillId="2" borderId="72" xfId="18" applyFill="1" applyBorder="1" applyAlignment="1">
      <alignment horizontal="centerContinuous"/>
    </xf>
    <xf numFmtId="0" fontId="4" fillId="2" borderId="76" xfId="18" applyFill="1" applyBorder="1" applyAlignment="1">
      <alignment horizontal="centerContinuous"/>
    </xf>
    <xf numFmtId="49" fontId="6" fillId="2" borderId="11" xfId="18" applyNumberFormat="1" applyFont="1" applyFill="1" applyBorder="1"/>
    <xf numFmtId="0" fontId="6" fillId="2" borderId="11" xfId="18" applyFont="1" applyFill="1" applyBorder="1"/>
    <xf numFmtId="0" fontId="6" fillId="2" borderId="11" xfId="18" applyFont="1" applyFill="1" applyBorder="1" applyAlignment="1">
      <alignment horizontal="center"/>
    </xf>
    <xf numFmtId="0" fontId="12" fillId="2" borderId="9" xfId="18" applyFont="1" applyFill="1" applyBorder="1" applyAlignment="1">
      <alignment horizontal="centerContinuous"/>
    </xf>
    <xf numFmtId="0" fontId="12" fillId="2" borderId="0" xfId="18" applyFont="1" applyFill="1" applyAlignment="1">
      <alignment horizontal="centerContinuous"/>
    </xf>
    <xf numFmtId="0" fontId="12" fillId="2" borderId="10" xfId="18" applyFont="1" applyFill="1" applyBorder="1" applyAlignment="1">
      <alignment horizontal="centerContinuous"/>
    </xf>
    <xf numFmtId="49" fontId="6" fillId="2" borderId="0" xfId="18" applyNumberFormat="1" applyFont="1" applyFill="1" applyAlignment="1">
      <alignment horizontal="center"/>
    </xf>
    <xf numFmtId="49" fontId="6" fillId="2" borderId="27" xfId="18" applyNumberFormat="1" applyFont="1" applyFill="1" applyBorder="1" applyAlignment="1">
      <alignment horizontal="center"/>
    </xf>
    <xf numFmtId="0" fontId="6" fillId="2" borderId="27" xfId="18" applyFont="1" applyFill="1" applyBorder="1" applyAlignment="1">
      <alignment horizontal="center"/>
    </xf>
    <xf numFmtId="0" fontId="12" fillId="2" borderId="22" xfId="18" applyFont="1" applyFill="1" applyBorder="1" applyAlignment="1">
      <alignment horizontal="centerContinuous"/>
    </xf>
    <xf numFmtId="0" fontId="12" fillId="2" borderId="5" xfId="18" applyFont="1" applyFill="1" applyBorder="1" applyAlignment="1">
      <alignment horizontal="centerContinuous"/>
    </xf>
    <xf numFmtId="0" fontId="12" fillId="2" borderId="20" xfId="18" applyFont="1" applyFill="1" applyBorder="1" applyAlignment="1">
      <alignment horizontal="centerContinuous"/>
    </xf>
    <xf numFmtId="49" fontId="13" fillId="6" borderId="0" xfId="18" applyNumberFormat="1" applyFont="1" applyFill="1" applyAlignment="1">
      <alignment horizontal="center"/>
    </xf>
    <xf numFmtId="49" fontId="13" fillId="6" borderId="0" xfId="18" applyNumberFormat="1" applyFont="1" applyFill="1" applyAlignment="1">
      <alignment vertical="center"/>
    </xf>
    <xf numFmtId="49" fontId="13" fillId="6" borderId="0" xfId="18" applyNumberFormat="1" applyFont="1" applyFill="1"/>
    <xf numFmtId="0" fontId="12" fillId="6" borderId="0" xfId="18" applyFont="1" applyFill="1"/>
    <xf numFmtId="10" fontId="12" fillId="2" borderId="66" xfId="7" applyNumberFormat="1" applyFont="1" applyFill="1" applyBorder="1" applyAlignment="1" applyProtection="1">
      <alignment horizontal="center"/>
    </xf>
    <xf numFmtId="0" fontId="12" fillId="2" borderId="66" xfId="18" applyFont="1" applyFill="1" applyBorder="1" applyAlignment="1">
      <alignment horizontal="center"/>
    </xf>
    <xf numFmtId="0" fontId="6" fillId="3" borderId="26" xfId="18" applyFont="1" applyFill="1" applyBorder="1" applyProtection="1">
      <protection locked="0"/>
    </xf>
    <xf numFmtId="38" fontId="12" fillId="0" borderId="26" xfId="1" applyNumberFormat="1" applyFont="1" applyFill="1" applyBorder="1" applyAlignment="1" applyProtection="1">
      <protection locked="0"/>
    </xf>
    <xf numFmtId="10" fontId="12" fillId="2" borderId="26" xfId="7" applyNumberFormat="1" applyFont="1" applyFill="1" applyBorder="1" applyAlignment="1" applyProtection="1">
      <alignment horizontal="center"/>
    </xf>
    <xf numFmtId="0" fontId="12" fillId="2" borderId="26" xfId="18" applyFont="1" applyFill="1" applyBorder="1" applyAlignment="1">
      <alignment horizontal="center"/>
    </xf>
    <xf numFmtId="49" fontId="6" fillId="7" borderId="26" xfId="18" applyNumberFormat="1" applyFont="1" applyFill="1" applyBorder="1" applyAlignment="1" applyProtection="1">
      <alignment wrapText="1"/>
      <protection locked="0"/>
    </xf>
    <xf numFmtId="38" fontId="12" fillId="7" borderId="26" xfId="1" applyNumberFormat="1" applyFont="1" applyFill="1" applyBorder="1" applyAlignment="1" applyProtection="1">
      <protection locked="0"/>
    </xf>
    <xf numFmtId="38" fontId="12" fillId="2" borderId="26" xfId="1" applyNumberFormat="1" applyFont="1" applyFill="1" applyBorder="1" applyAlignment="1" applyProtection="1">
      <alignment horizontal="right"/>
    </xf>
    <xf numFmtId="49" fontId="6" fillId="8" borderId="26" xfId="18" applyNumberFormat="1" applyFont="1" applyFill="1" applyBorder="1" applyAlignment="1" applyProtection="1">
      <alignment wrapText="1"/>
      <protection locked="0"/>
    </xf>
    <xf numFmtId="38" fontId="12" fillId="8" borderId="26" xfId="1" applyNumberFormat="1" applyFont="1" applyFill="1" applyBorder="1" applyAlignment="1" applyProtection="1">
      <protection locked="0"/>
    </xf>
    <xf numFmtId="10" fontId="12" fillId="8" borderId="26" xfId="7" applyNumberFormat="1" applyFont="1" applyFill="1" applyBorder="1" applyAlignment="1" applyProtection="1">
      <alignment horizontal="center"/>
      <protection locked="0"/>
    </xf>
    <xf numFmtId="0" fontId="12" fillId="8" borderId="26" xfId="18" applyFont="1" applyFill="1" applyBorder="1" applyAlignment="1" applyProtection="1">
      <alignment horizontal="center"/>
      <protection locked="0"/>
    </xf>
    <xf numFmtId="49" fontId="6" fillId="9" borderId="26" xfId="18" applyNumberFormat="1" applyFont="1" applyFill="1" applyBorder="1" applyAlignment="1" applyProtection="1">
      <alignment wrapText="1"/>
      <protection locked="0"/>
    </xf>
    <xf numFmtId="38" fontId="12" fillId="9" borderId="26" xfId="1" applyNumberFormat="1" applyFont="1" applyFill="1" applyBorder="1" applyAlignment="1" applyProtection="1">
      <protection locked="0"/>
    </xf>
    <xf numFmtId="10" fontId="12" fillId="9" borderId="26" xfId="7" applyNumberFormat="1" applyFont="1" applyFill="1" applyBorder="1" applyAlignment="1" applyProtection="1">
      <alignment horizontal="center"/>
      <protection locked="0"/>
    </xf>
    <xf numFmtId="0" fontId="12" fillId="9" borderId="26" xfId="18" applyFont="1" applyFill="1" applyBorder="1" applyAlignment="1" applyProtection="1">
      <alignment horizontal="center"/>
      <protection locked="0"/>
    </xf>
    <xf numFmtId="49" fontId="6" fillId="10" borderId="26" xfId="18" applyNumberFormat="1" applyFont="1" applyFill="1" applyBorder="1" applyAlignment="1" applyProtection="1">
      <alignment wrapText="1"/>
      <protection locked="0"/>
    </xf>
    <xf numFmtId="38" fontId="12" fillId="10" borderId="26" xfId="1" applyNumberFormat="1" applyFont="1" applyFill="1" applyBorder="1" applyAlignment="1" applyProtection="1">
      <protection locked="0"/>
    </xf>
    <xf numFmtId="10" fontId="12" fillId="10" borderId="26" xfId="7" applyNumberFormat="1" applyFont="1" applyFill="1" applyBorder="1" applyAlignment="1" applyProtection="1">
      <alignment horizontal="center"/>
      <protection locked="0"/>
    </xf>
    <xf numFmtId="0" fontId="12" fillId="10" borderId="26" xfId="18" applyFont="1" applyFill="1" applyBorder="1" applyAlignment="1" applyProtection="1">
      <alignment horizontal="center"/>
      <protection locked="0"/>
    </xf>
    <xf numFmtId="0" fontId="12" fillId="3" borderId="26" xfId="18" applyFont="1" applyFill="1" applyBorder="1" applyAlignment="1" applyProtection="1">
      <alignment horizontal="center"/>
      <protection locked="0"/>
    </xf>
    <xf numFmtId="49" fontId="13" fillId="2" borderId="64" xfId="18" applyNumberFormat="1" applyFont="1" applyFill="1" applyBorder="1" applyAlignment="1">
      <alignment vertical="center"/>
    </xf>
    <xf numFmtId="49" fontId="6" fillId="2" borderId="66" xfId="18" applyNumberFormat="1" applyFont="1" applyFill="1" applyBorder="1" applyAlignment="1">
      <alignment wrapText="1"/>
    </xf>
    <xf numFmtId="0" fontId="12" fillId="2" borderId="0" xfId="18" applyFont="1" applyFill="1" applyAlignment="1">
      <alignment horizontal="center"/>
    </xf>
    <xf numFmtId="0" fontId="6" fillId="8" borderId="26" xfId="18" applyFont="1" applyFill="1" applyBorder="1" applyAlignment="1" applyProtection="1">
      <alignment wrapText="1"/>
      <protection locked="0"/>
    </xf>
    <xf numFmtId="0" fontId="6" fillId="9" borderId="26" xfId="18" applyFont="1" applyFill="1" applyBorder="1" applyAlignment="1" applyProtection="1">
      <alignment wrapText="1"/>
      <protection locked="0"/>
    </xf>
    <xf numFmtId="0" fontId="6" fillId="10" borderId="26" xfId="18" applyFont="1" applyFill="1" applyBorder="1" applyAlignment="1" applyProtection="1">
      <alignment wrapText="1"/>
      <protection locked="0"/>
    </xf>
    <xf numFmtId="0" fontId="6" fillId="3" borderId="26" xfId="18" applyFont="1" applyFill="1" applyBorder="1" applyAlignment="1" applyProtection="1">
      <alignment wrapText="1"/>
      <protection locked="0"/>
    </xf>
    <xf numFmtId="49" fontId="13" fillId="2" borderId="0" xfId="18" applyNumberFormat="1" applyFont="1" applyFill="1" applyAlignment="1">
      <alignment vertical="center"/>
    </xf>
    <xf numFmtId="0" fontId="6" fillId="7" borderId="26" xfId="18" applyFont="1" applyFill="1" applyBorder="1" applyAlignment="1" applyProtection="1">
      <alignment wrapText="1"/>
      <protection locked="0"/>
    </xf>
    <xf numFmtId="6" fontId="12" fillId="2" borderId="0" xfId="18" applyNumberFormat="1" applyFont="1" applyFill="1"/>
    <xf numFmtId="49" fontId="13" fillId="6" borderId="77" xfId="18" applyNumberFormat="1" applyFont="1" applyFill="1" applyBorder="1" applyAlignment="1">
      <alignment vertical="center"/>
    </xf>
    <xf numFmtId="0" fontId="12" fillId="6" borderId="68" xfId="18" applyFont="1" applyFill="1" applyBorder="1"/>
    <xf numFmtId="0" fontId="12" fillId="6" borderId="78" xfId="18" applyFont="1" applyFill="1" applyBorder="1"/>
    <xf numFmtId="8" fontId="34" fillId="2" borderId="0" xfId="18" applyNumberFormat="1" applyFont="1" applyFill="1"/>
    <xf numFmtId="6" fontId="34" fillId="2" borderId="0" xfId="18" applyNumberFormat="1" applyFont="1" applyFill="1" applyAlignment="1">
      <alignment horizontal="right"/>
    </xf>
    <xf numFmtId="0" fontId="35" fillId="2" borderId="0" xfId="18" applyFont="1" applyFill="1"/>
    <xf numFmtId="37" fontId="35" fillId="2" borderId="0" xfId="18" applyNumberFormat="1" applyFont="1" applyFill="1" applyAlignment="1" applyProtection="1">
      <alignment horizontal="left" indent="1"/>
      <protection locked="0"/>
    </xf>
    <xf numFmtId="0" fontId="6" fillId="2" borderId="0" xfId="18" applyFont="1" applyFill="1" applyAlignment="1">
      <alignment horizontal="right"/>
    </xf>
    <xf numFmtId="0" fontId="6" fillId="3" borderId="68" xfId="9" applyFont="1" applyFill="1" applyBorder="1" applyAlignment="1">
      <alignment horizontal="centerContinuous"/>
    </xf>
    <xf numFmtId="0" fontId="6" fillId="3" borderId="68" xfId="9" applyFont="1" applyFill="1" applyBorder="1"/>
    <xf numFmtId="3" fontId="10" fillId="3" borderId="72" xfId="9" applyNumberFormat="1" applyFont="1" applyFill="1" applyBorder="1" applyAlignment="1">
      <alignment horizontal="centerContinuous"/>
    </xf>
    <xf numFmtId="3" fontId="6" fillId="3" borderId="68" xfId="9" applyNumberFormat="1" applyFont="1" applyFill="1" applyBorder="1" applyAlignment="1">
      <alignment horizontal="centerContinuous"/>
    </xf>
    <xf numFmtId="3" fontId="6" fillId="3" borderId="72" xfId="9" applyNumberFormat="1" applyFont="1" applyFill="1" applyBorder="1"/>
    <xf numFmtId="3" fontId="10" fillId="3" borderId="5" xfId="9" applyNumberFormat="1" applyFont="1" applyFill="1" applyBorder="1" applyAlignment="1">
      <alignment horizontal="left"/>
    </xf>
    <xf numFmtId="0" fontId="10" fillId="3" borderId="5" xfId="9" applyFont="1" applyFill="1" applyBorder="1"/>
    <xf numFmtId="5" fontId="6" fillId="3" borderId="72" xfId="9" applyNumberFormat="1" applyFont="1" applyFill="1" applyBorder="1" applyAlignment="1">
      <alignment horizontal="centerContinuous"/>
    </xf>
    <xf numFmtId="5" fontId="6" fillId="3" borderId="72" xfId="9" applyNumberFormat="1" applyFont="1" applyFill="1" applyBorder="1"/>
    <xf numFmtId="3" fontId="10" fillId="3" borderId="72" xfId="9" applyNumberFormat="1" applyFont="1" applyFill="1" applyBorder="1" applyAlignment="1">
      <alignment horizontal="center"/>
    </xf>
    <xf numFmtId="5" fontId="6" fillId="3" borderId="72" xfId="9" applyNumberFormat="1" applyFont="1" applyFill="1" applyBorder="1" applyAlignment="1">
      <alignment horizontal="center"/>
    </xf>
    <xf numFmtId="0" fontId="6" fillId="3" borderId="77" xfId="9" applyFont="1" applyFill="1" applyBorder="1"/>
    <xf numFmtId="3" fontId="6" fillId="3" borderId="78" xfId="9" applyNumberFormat="1" applyFont="1" applyFill="1" applyBorder="1"/>
    <xf numFmtId="0" fontId="6" fillId="3" borderId="77" xfId="9" applyFont="1" applyFill="1" applyBorder="1" applyAlignment="1">
      <alignment horizontal="centerContinuous"/>
    </xf>
    <xf numFmtId="5" fontId="6" fillId="3" borderId="78" xfId="9" applyNumberFormat="1" applyFont="1" applyFill="1" applyBorder="1"/>
    <xf numFmtId="0" fontId="6" fillId="3" borderId="75" xfId="9" applyFont="1" applyFill="1" applyBorder="1"/>
    <xf numFmtId="3" fontId="6" fillId="3" borderId="72" xfId="9" applyNumberFormat="1" applyFont="1" applyFill="1" applyBorder="1" applyAlignment="1">
      <alignment horizontal="centerContinuous"/>
    </xf>
    <xf numFmtId="3" fontId="6" fillId="3" borderId="76" xfId="9" applyNumberFormat="1" applyFont="1" applyFill="1" applyBorder="1"/>
    <xf numFmtId="0" fontId="6" fillId="3" borderId="72" xfId="9" applyFont="1" applyFill="1" applyBorder="1" applyAlignment="1">
      <alignment horizontal="right"/>
    </xf>
    <xf numFmtId="0" fontId="6" fillId="3" borderId="76" xfId="9" applyFont="1" applyFill="1" applyBorder="1" applyAlignment="1">
      <alignment horizontal="right"/>
    </xf>
    <xf numFmtId="37" fontId="6" fillId="3" borderId="82" xfId="9" applyNumberFormat="1" applyFont="1" applyFill="1" applyBorder="1"/>
    <xf numFmtId="5" fontId="6" fillId="3" borderId="68" xfId="9" applyNumberFormat="1" applyFont="1" applyFill="1" applyBorder="1"/>
    <xf numFmtId="3" fontId="10" fillId="3" borderId="75" xfId="9" applyNumberFormat="1" applyFont="1" applyFill="1" applyBorder="1" applyAlignment="1">
      <alignment horizontal="centerContinuous"/>
    </xf>
    <xf numFmtId="3" fontId="6" fillId="3" borderId="76" xfId="9" applyNumberFormat="1" applyFont="1" applyFill="1" applyBorder="1" applyAlignment="1">
      <alignment horizontal="centerContinuous"/>
    </xf>
    <xf numFmtId="3" fontId="6" fillId="3" borderId="76" xfId="10" applyNumberFormat="1" applyFont="1" applyFill="1" applyBorder="1" applyProtection="1"/>
    <xf numFmtId="0" fontId="6" fillId="3" borderId="76" xfId="9" applyFont="1" applyFill="1" applyBorder="1"/>
    <xf numFmtId="0" fontId="51" fillId="3" borderId="0" xfId="9" applyFont="1" applyFill="1"/>
    <xf numFmtId="0" fontId="23" fillId="3" borderId="0" xfId="9" applyFont="1" applyFill="1" applyAlignment="1">
      <alignment horizontal="right" indent="2"/>
    </xf>
    <xf numFmtId="0" fontId="23" fillId="3" borderId="0" xfId="9" applyFont="1" applyFill="1" applyAlignment="1">
      <alignment horizontal="center"/>
    </xf>
    <xf numFmtId="3" fontId="6" fillId="3" borderId="77" xfId="9" applyNumberFormat="1" applyFont="1" applyFill="1" applyBorder="1" applyAlignment="1">
      <alignment horizontal="centerContinuous"/>
    </xf>
    <xf numFmtId="14" fontId="10" fillId="3" borderId="68" xfId="9" applyNumberFormat="1" applyFont="1" applyFill="1" applyBorder="1" applyAlignment="1">
      <alignment horizontal="centerContinuous"/>
    </xf>
    <xf numFmtId="3" fontId="6" fillId="3" borderId="78" xfId="9" applyNumberFormat="1" applyFont="1" applyFill="1" applyBorder="1" applyAlignment="1">
      <alignment horizontal="centerContinuous"/>
    </xf>
    <xf numFmtId="3" fontId="6" fillId="3" borderId="75" xfId="9" applyNumberFormat="1" applyFont="1" applyFill="1" applyBorder="1"/>
    <xf numFmtId="3" fontId="6" fillId="3" borderId="72" xfId="9" applyNumberFormat="1" applyFont="1" applyFill="1" applyBorder="1" applyAlignment="1">
      <alignment horizontal="right"/>
    </xf>
    <xf numFmtId="3" fontId="6" fillId="3" borderId="76" xfId="9" applyNumberFormat="1" applyFont="1" applyFill="1" applyBorder="1" applyAlignment="1">
      <alignment horizontal="right"/>
    </xf>
    <xf numFmtId="3" fontId="6" fillId="3" borderId="0" xfId="9" applyNumberFormat="1" applyFont="1" applyFill="1" applyAlignment="1">
      <alignment horizontal="left"/>
    </xf>
    <xf numFmtId="3" fontId="6" fillId="3" borderId="0" xfId="9" applyNumberFormat="1" applyFont="1" applyFill="1" applyAlignment="1">
      <alignment horizontal="left" indent="2"/>
    </xf>
    <xf numFmtId="5" fontId="6" fillId="3" borderId="75" xfId="9" applyNumberFormat="1" applyFont="1" applyFill="1" applyBorder="1" applyAlignment="1">
      <alignment horizontal="centerContinuous"/>
    </xf>
    <xf numFmtId="0" fontId="6" fillId="3" borderId="78" xfId="9" applyFont="1" applyFill="1" applyBorder="1" applyAlignment="1">
      <alignment horizontal="centerContinuous"/>
    </xf>
    <xf numFmtId="5" fontId="6" fillId="3" borderId="75" xfId="9" applyNumberFormat="1" applyFont="1" applyFill="1" applyBorder="1"/>
    <xf numFmtId="5" fontId="6" fillId="3" borderId="72" xfId="9" applyNumberFormat="1" applyFont="1" applyFill="1" applyBorder="1" applyAlignment="1">
      <alignment horizontal="right"/>
    </xf>
    <xf numFmtId="5" fontId="6" fillId="3" borderId="72" xfId="9" applyNumberFormat="1" applyFont="1" applyFill="1" applyBorder="1" applyAlignment="1">
      <alignment horizontal="left"/>
    </xf>
    <xf numFmtId="0" fontId="6" fillId="3" borderId="72" xfId="9" applyFont="1" applyFill="1" applyBorder="1" applyAlignment="1">
      <alignment horizontal="centerContinuous"/>
    </xf>
    <xf numFmtId="0" fontId="6" fillId="3" borderId="76" xfId="9" applyFont="1" applyFill="1" applyBorder="1" applyAlignment="1">
      <alignment horizontal="centerContinuous"/>
    </xf>
    <xf numFmtId="5" fontId="6" fillId="3" borderId="0" xfId="9" quotePrefix="1" applyNumberFormat="1" applyFont="1" applyFill="1"/>
    <xf numFmtId="0" fontId="6" fillId="3" borderId="63" xfId="9" applyFont="1" applyFill="1" applyBorder="1"/>
    <xf numFmtId="0" fontId="6" fillId="3" borderId="75" xfId="9" applyFont="1" applyFill="1" applyBorder="1" applyAlignment="1">
      <alignment horizontal="centerContinuous"/>
    </xf>
    <xf numFmtId="38" fontId="6" fillId="3" borderId="72" xfId="1" applyNumberFormat="1" applyFont="1" applyFill="1" applyBorder="1" applyProtection="1"/>
    <xf numFmtId="38" fontId="6" fillId="3" borderId="76" xfId="1" applyNumberFormat="1" applyFont="1" applyFill="1" applyBorder="1" applyProtection="1"/>
    <xf numFmtId="38" fontId="6" fillId="3" borderId="68" xfId="1" applyNumberFormat="1" applyFont="1" applyFill="1" applyBorder="1" applyProtection="1"/>
    <xf numFmtId="38" fontId="6" fillId="3" borderId="78" xfId="1" applyNumberFormat="1" applyFont="1" applyFill="1" applyBorder="1" applyProtection="1"/>
    <xf numFmtId="0" fontId="6" fillId="3" borderId="72" xfId="9" applyFont="1" applyFill="1" applyBorder="1" applyAlignment="1">
      <alignment horizontal="left" indent="5"/>
    </xf>
    <xf numFmtId="0" fontId="6" fillId="3" borderId="75" xfId="9" applyFont="1" applyFill="1" applyBorder="1" applyAlignment="1">
      <alignment horizontal="left" indent="4"/>
    </xf>
    <xf numFmtId="0" fontId="10" fillId="3" borderId="0" xfId="9" applyFont="1" applyFill="1" applyAlignment="1">
      <alignment horizontal="left" indent="5"/>
    </xf>
    <xf numFmtId="9" fontId="10" fillId="3" borderId="0" xfId="7" applyFont="1" applyFill="1" applyAlignment="1" applyProtection="1">
      <alignment horizontal="left"/>
    </xf>
    <xf numFmtId="0" fontId="23" fillId="3" borderId="0" xfId="9" applyFont="1" applyFill="1"/>
    <xf numFmtId="0" fontId="6" fillId="11" borderId="9" xfId="9" applyFont="1" applyFill="1" applyBorder="1" applyAlignment="1">
      <alignment horizontal="left" indent="2"/>
    </xf>
    <xf numFmtId="0" fontId="6" fillId="11" borderId="0" xfId="9" applyFont="1" applyFill="1" applyAlignment="1">
      <alignment horizontal="left" indent="2"/>
    </xf>
    <xf numFmtId="0" fontId="6" fillId="11" borderId="0" xfId="9" applyFont="1" applyFill="1"/>
    <xf numFmtId="38" fontId="6" fillId="11" borderId="10" xfId="1" applyNumberFormat="1" applyFont="1" applyFill="1" applyBorder="1" applyProtection="1"/>
    <xf numFmtId="38" fontId="6" fillId="11" borderId="0" xfId="9" applyNumberFormat="1" applyFont="1" applyFill="1"/>
    <xf numFmtId="38" fontId="6" fillId="11" borderId="10" xfId="9" applyNumberFormat="1" applyFont="1" applyFill="1" applyBorder="1"/>
    <xf numFmtId="38" fontId="6" fillId="0" borderId="0" xfId="10" applyNumberFormat="1" applyFont="1" applyFill="1" applyBorder="1" applyProtection="1"/>
    <xf numFmtId="38" fontId="6" fillId="0" borderId="10" xfId="10" applyNumberFormat="1" applyFont="1" applyFill="1" applyBorder="1" applyProtection="1"/>
    <xf numFmtId="38" fontId="6" fillId="0" borderId="0" xfId="9" applyNumberFormat="1" applyFont="1"/>
    <xf numFmtId="38" fontId="6" fillId="0" borderId="10" xfId="9" applyNumberFormat="1" applyFont="1" applyBorder="1"/>
    <xf numFmtId="0" fontId="41" fillId="2" borderId="0" xfId="16" applyFont="1" applyFill="1"/>
    <xf numFmtId="0" fontId="41" fillId="2" borderId="0" xfId="9" applyFont="1" applyFill="1"/>
    <xf numFmtId="0" fontId="45" fillId="2" borderId="0" xfId="0" applyFont="1" applyFill="1" applyAlignment="1">
      <alignment horizontal="left" vertical="center" indent="1"/>
    </xf>
    <xf numFmtId="0" fontId="42" fillId="2" borderId="0" xfId="0" applyFont="1" applyFill="1" applyAlignment="1">
      <alignment horizontal="left" vertical="center"/>
    </xf>
    <xf numFmtId="14" fontId="42" fillId="0" borderId="13" xfId="0" applyNumberFormat="1" applyFont="1" applyBorder="1" applyAlignment="1" applyProtection="1">
      <alignment horizontal="center" vertical="center"/>
      <protection locked="0"/>
    </xf>
    <xf numFmtId="0" fontId="53" fillId="2" borderId="0" xfId="0" applyFont="1" applyFill="1"/>
    <xf numFmtId="0" fontId="42" fillId="2" borderId="0" xfId="0" applyFont="1" applyFill="1" applyAlignment="1">
      <alignment horizontal="left" vertical="center" indent="3"/>
    </xf>
    <xf numFmtId="164" fontId="10" fillId="2" borderId="0" xfId="0" applyNumberFormat="1" applyFont="1" applyFill="1" applyAlignment="1" applyProtection="1">
      <alignment horizontal="center" vertical="center"/>
      <protection locked="0"/>
    </xf>
    <xf numFmtId="0" fontId="43" fillId="2" borderId="0" xfId="0" applyFont="1" applyFill="1" applyAlignment="1">
      <alignment horizontal="center"/>
    </xf>
    <xf numFmtId="0" fontId="42" fillId="2" borderId="0" xfId="0" applyFont="1" applyFill="1" applyAlignment="1">
      <alignment horizontal="center"/>
    </xf>
    <xf numFmtId="0" fontId="49" fillId="2" borderId="0" xfId="0" applyFont="1" applyFill="1"/>
    <xf numFmtId="0" fontId="49" fillId="2" borderId="0" xfId="0" applyFont="1" applyFill="1" applyAlignment="1">
      <alignment horizontal="right"/>
    </xf>
    <xf numFmtId="38" fontId="49" fillId="2" borderId="0" xfId="1" applyNumberFormat="1" applyFont="1" applyFill="1" applyAlignment="1" applyProtection="1">
      <alignment horizontal="left"/>
    </xf>
    <xf numFmtId="10" fontId="6" fillId="3" borderId="68" xfId="9" applyNumberFormat="1" applyFont="1" applyFill="1" applyBorder="1"/>
    <xf numFmtId="37" fontId="6" fillId="3" borderId="78" xfId="9" applyNumberFormat="1" applyFont="1" applyFill="1" applyBorder="1"/>
    <xf numFmtId="0" fontId="5" fillId="2" borderId="0" xfId="16" applyFont="1" applyFill="1" applyAlignment="1">
      <alignment horizontal="center"/>
    </xf>
    <xf numFmtId="0" fontId="5" fillId="2" borderId="0" xfId="16" applyFont="1" applyFill="1" applyAlignment="1">
      <alignment horizontal="right"/>
    </xf>
    <xf numFmtId="0" fontId="4" fillId="2" borderId="0" xfId="16" applyFont="1" applyFill="1" applyAlignment="1">
      <alignment horizontal="left"/>
    </xf>
    <xf numFmtId="0" fontId="54" fillId="2" borderId="0" xfId="16" applyFont="1" applyFill="1" applyAlignment="1">
      <alignment horizontal="left"/>
    </xf>
    <xf numFmtId="0" fontId="39" fillId="2" borderId="0" xfId="16" applyFont="1" applyFill="1"/>
    <xf numFmtId="0" fontId="54" fillId="2" borderId="0" xfId="16" applyFont="1" applyFill="1"/>
    <xf numFmtId="0" fontId="39" fillId="2" borderId="0" xfId="16" applyFont="1" applyFill="1" applyAlignment="1">
      <alignment horizontal="right"/>
    </xf>
    <xf numFmtId="0" fontId="54" fillId="2" borderId="0" xfId="16" applyFont="1" applyFill="1" applyAlignment="1">
      <alignment horizontal="right"/>
    </xf>
    <xf numFmtId="0" fontId="6" fillId="2" borderId="0" xfId="16" applyFont="1" applyFill="1" applyAlignment="1">
      <alignment horizontal="left"/>
    </xf>
    <xf numFmtId="0" fontId="39" fillId="2" borderId="0" xfId="16" applyFont="1" applyFill="1" applyAlignment="1">
      <alignment horizontal="centerContinuous"/>
    </xf>
    <xf numFmtId="0" fontId="55" fillId="2" borderId="0" xfId="16" applyFont="1" applyFill="1" applyAlignment="1">
      <alignment horizontal="center"/>
    </xf>
    <xf numFmtId="0" fontId="41" fillId="2" borderId="0" xfId="16" applyFont="1" applyFill="1" applyAlignment="1">
      <alignment horizontal="left"/>
    </xf>
    <xf numFmtId="0" fontId="44" fillId="2" borderId="0" xfId="16" applyFont="1" applyFill="1" applyAlignment="1">
      <alignment horizontal="centerContinuous"/>
    </xf>
    <xf numFmtId="0" fontId="4" fillId="2" borderId="0" xfId="16" applyFont="1" applyFill="1" applyAlignment="1">
      <alignment horizontal="right" vertical="top" wrapText="1" indent="1"/>
    </xf>
    <xf numFmtId="0" fontId="41" fillId="2" borderId="0" xfId="0" applyFont="1" applyFill="1" applyAlignment="1">
      <alignment horizontal="left" indent="1"/>
    </xf>
    <xf numFmtId="0" fontId="41" fillId="2" borderId="0" xfId="0" applyFont="1" applyFill="1" applyAlignment="1">
      <alignment horizontal="left" indent="4"/>
    </xf>
    <xf numFmtId="0" fontId="6" fillId="2" borderId="83" xfId="16" applyFont="1" applyFill="1" applyBorder="1"/>
    <xf numFmtId="0" fontId="6" fillId="2" borderId="84" xfId="16" applyFont="1" applyFill="1" applyBorder="1"/>
    <xf numFmtId="0" fontId="6" fillId="2" borderId="85" xfId="16" applyFont="1" applyFill="1" applyBorder="1"/>
    <xf numFmtId="0" fontId="6" fillId="2" borderId="0" xfId="16" applyFont="1" applyFill="1"/>
    <xf numFmtId="0" fontId="4" fillId="2" borderId="86" xfId="16" applyFont="1" applyFill="1" applyBorder="1"/>
    <xf numFmtId="0" fontId="4" fillId="2" borderId="87" xfId="16" applyFont="1" applyFill="1" applyBorder="1"/>
    <xf numFmtId="0" fontId="5" fillId="2" borderId="0" xfId="16" applyFont="1" applyFill="1" applyAlignment="1">
      <alignment horizontal="left" vertical="top" wrapText="1"/>
    </xf>
    <xf numFmtId="0" fontId="4" fillId="2" borderId="86" xfId="16" applyFont="1" applyFill="1" applyBorder="1" applyAlignment="1">
      <alignment horizontal="left"/>
    </xf>
    <xf numFmtId="0" fontId="4" fillId="2" borderId="86" xfId="16" applyFont="1" applyFill="1" applyBorder="1" applyAlignment="1">
      <alignment horizontal="right" vertical="top" wrapText="1"/>
    </xf>
    <xf numFmtId="0" fontId="4" fillId="2" borderId="0" xfId="16" applyFont="1" applyFill="1" applyAlignment="1">
      <alignment horizontal="right" vertical="top" wrapText="1"/>
    </xf>
    <xf numFmtId="0" fontId="4" fillId="2" borderId="88" xfId="16" applyFont="1" applyFill="1" applyBorder="1"/>
    <xf numFmtId="0" fontId="4" fillId="2" borderId="14" xfId="16" applyFont="1" applyFill="1" applyBorder="1" applyAlignment="1">
      <alignment vertical="top" wrapText="1"/>
    </xf>
    <xf numFmtId="0" fontId="4" fillId="2" borderId="89" xfId="16" applyFont="1" applyFill="1" applyBorder="1"/>
    <xf numFmtId="0" fontId="4" fillId="2" borderId="0" xfId="16" applyFont="1" applyFill="1" applyAlignment="1">
      <alignment vertical="top" wrapText="1"/>
    </xf>
    <xf numFmtId="0" fontId="4" fillId="2" borderId="83" xfId="16" applyFont="1" applyFill="1" applyBorder="1"/>
    <xf numFmtId="0" fontId="4" fillId="2" borderId="84" xfId="16" applyFont="1" applyFill="1" applyBorder="1"/>
    <xf numFmtId="0" fontId="4" fillId="2" borderId="84" xfId="16" applyFont="1" applyFill="1" applyBorder="1" applyAlignment="1">
      <alignment horizontal="left" vertical="top" wrapText="1"/>
    </xf>
    <xf numFmtId="0" fontId="5" fillId="2" borderId="85" xfId="16" applyFont="1" applyFill="1" applyBorder="1" applyAlignment="1">
      <alignment horizontal="right"/>
    </xf>
    <xf numFmtId="0" fontId="4" fillId="2" borderId="86" xfId="16" applyFont="1" applyFill="1" applyBorder="1" applyAlignment="1">
      <alignment vertical="top" wrapText="1"/>
    </xf>
    <xf numFmtId="0" fontId="4" fillId="2" borderId="88" xfId="16" applyFont="1" applyFill="1" applyBorder="1" applyAlignment="1">
      <alignment horizontal="left"/>
    </xf>
    <xf numFmtId="0" fontId="4" fillId="2" borderId="14" xfId="16" applyFont="1" applyFill="1" applyBorder="1" applyAlignment="1">
      <alignment horizontal="left"/>
    </xf>
    <xf numFmtId="0" fontId="4" fillId="2" borderId="89" xfId="16" applyFont="1" applyFill="1" applyBorder="1" applyAlignment="1">
      <alignment horizontal="left"/>
    </xf>
    <xf numFmtId="0" fontId="3" fillId="2" borderId="0" xfId="16" applyFill="1"/>
    <xf numFmtId="3" fontId="44" fillId="2" borderId="0" xfId="9" applyNumberFormat="1" applyFont="1" applyFill="1"/>
    <xf numFmtId="0" fontId="44" fillId="2" borderId="0" xfId="9" applyFont="1" applyFill="1"/>
    <xf numFmtId="9" fontId="41" fillId="2" borderId="0" xfId="9" applyNumberFormat="1" applyFont="1" applyFill="1"/>
    <xf numFmtId="0" fontId="41" fillId="2" borderId="0" xfId="9" applyFont="1" applyFill="1" applyAlignment="1">
      <alignment horizontal="left" indent="1"/>
    </xf>
    <xf numFmtId="6" fontId="41" fillId="2" borderId="0" xfId="12" applyNumberFormat="1" applyFont="1" applyFill="1"/>
    <xf numFmtId="6" fontId="41" fillId="2" borderId="0" xfId="9" applyNumberFormat="1" applyFont="1" applyFill="1"/>
    <xf numFmtId="3" fontId="41" fillId="2" borderId="0" xfId="9" applyNumberFormat="1" applyFont="1" applyFill="1" applyAlignment="1">
      <alignment horizontal="left" indent="3"/>
    </xf>
    <xf numFmtId="38" fontId="41" fillId="2" borderId="0" xfId="1" applyNumberFormat="1" applyFont="1" applyFill="1"/>
    <xf numFmtId="0" fontId="41" fillId="2" borderId="0" xfId="9" applyFont="1" applyFill="1" applyAlignment="1">
      <alignment horizontal="left" indent="3"/>
    </xf>
    <xf numFmtId="6" fontId="41" fillId="2" borderId="0" xfId="9" applyNumberFormat="1" applyFont="1" applyFill="1" applyAlignment="1">
      <alignment horizontal="left" indent="1"/>
    </xf>
    <xf numFmtId="3" fontId="41" fillId="2" borderId="0" xfId="9" applyNumberFormat="1" applyFont="1" applyFill="1"/>
    <xf numFmtId="3" fontId="41" fillId="2" borderId="0" xfId="10" applyNumberFormat="1" applyFont="1" applyFill="1"/>
    <xf numFmtId="0" fontId="58" fillId="2" borderId="0" xfId="9" applyFont="1" applyFill="1"/>
    <xf numFmtId="0" fontId="59" fillId="2" borderId="0" xfId="9" applyFont="1" applyFill="1"/>
    <xf numFmtId="0" fontId="41" fillId="2" borderId="5" xfId="9" applyFont="1" applyFill="1" applyBorder="1"/>
    <xf numFmtId="0" fontId="41" fillId="2" borderId="0" xfId="20" applyFont="1" applyFill="1"/>
    <xf numFmtId="0" fontId="41" fillId="2" borderId="0" xfId="20" applyFont="1" applyFill="1" applyAlignment="1">
      <alignment horizontal="center"/>
    </xf>
    <xf numFmtId="6" fontId="41" fillId="2" borderId="5" xfId="12" applyNumberFormat="1" applyFont="1" applyFill="1" applyBorder="1"/>
    <xf numFmtId="0" fontId="44" fillId="2" borderId="0" xfId="9" applyFont="1" applyFill="1" applyAlignment="1">
      <alignment horizontal="left"/>
    </xf>
    <xf numFmtId="6" fontId="41" fillId="2" borderId="0" xfId="2" applyNumberFormat="1" applyFont="1" applyFill="1"/>
    <xf numFmtId="0" fontId="44" fillId="2" borderId="0" xfId="9" applyFont="1" applyFill="1" applyAlignment="1">
      <alignment horizontal="left" indent="3"/>
    </xf>
    <xf numFmtId="173" fontId="44" fillId="2" borderId="0" xfId="7" applyNumberFormat="1" applyFont="1" applyFill="1" applyAlignment="1">
      <alignment horizontal="center"/>
    </xf>
    <xf numFmtId="0" fontId="44" fillId="2" borderId="0" xfId="9" applyFont="1" applyFill="1" applyAlignment="1">
      <alignment horizontal="center"/>
    </xf>
    <xf numFmtId="0" fontId="41" fillId="12" borderId="0" xfId="9" applyFont="1" applyFill="1" applyAlignment="1">
      <alignment horizontal="left" indent="1"/>
    </xf>
    <xf numFmtId="0" fontId="41" fillId="12" borderId="0" xfId="9" applyFont="1" applyFill="1"/>
    <xf numFmtId="0" fontId="60" fillId="2" borderId="0" xfId="9" applyFont="1" applyFill="1"/>
    <xf numFmtId="0" fontId="61" fillId="2" borderId="0" xfId="9" applyFont="1" applyFill="1"/>
    <xf numFmtId="6" fontId="61" fillId="2" borderId="0" xfId="9" applyNumberFormat="1" applyFont="1" applyFill="1"/>
    <xf numFmtId="8" fontId="61" fillId="2" borderId="0" xfId="9" applyNumberFormat="1" applyFont="1" applyFill="1"/>
    <xf numFmtId="177" fontId="61" fillId="2" borderId="0" xfId="9" applyNumberFormat="1" applyFont="1" applyFill="1"/>
    <xf numFmtId="6" fontId="61" fillId="2" borderId="0" xfId="12" applyNumberFormat="1" applyFont="1" applyFill="1"/>
    <xf numFmtId="6" fontId="41" fillId="2" borderId="0" xfId="9" applyNumberFormat="1" applyFont="1" applyFill="1" applyAlignment="1">
      <alignment horizontal="right"/>
    </xf>
    <xf numFmtId="164" fontId="41" fillId="2" borderId="0" xfId="9" applyNumberFormat="1" applyFont="1" applyFill="1"/>
    <xf numFmtId="10" fontId="41" fillId="2" borderId="0" xfId="11" applyNumberFormat="1" applyFont="1" applyFill="1"/>
    <xf numFmtId="0" fontId="54" fillId="2" borderId="0" xfId="16" applyFont="1" applyFill="1" applyAlignment="1">
      <alignment horizontal="left" indent="3"/>
    </xf>
    <xf numFmtId="0" fontId="63" fillId="2" borderId="0" xfId="16" applyFont="1" applyFill="1" applyAlignment="1">
      <alignment horizontal="left"/>
    </xf>
    <xf numFmtId="0" fontId="54" fillId="2" borderId="0" xfId="5" applyFont="1" applyFill="1" applyAlignment="1">
      <alignment horizontal="center"/>
    </xf>
    <xf numFmtId="164" fontId="39" fillId="0" borderId="66" xfId="16" applyNumberFormat="1" applyFont="1" applyBorder="1" applyAlignment="1" applyProtection="1">
      <alignment horizontal="center" vertical="center" wrapText="1"/>
      <protection locked="0"/>
    </xf>
    <xf numFmtId="0" fontId="62" fillId="2" borderId="0" xfId="16" applyFont="1" applyFill="1"/>
    <xf numFmtId="0" fontId="64" fillId="2" borderId="0" xfId="16" applyFont="1" applyFill="1"/>
    <xf numFmtId="0" fontId="64" fillId="2" borderId="0" xfId="0" applyFont="1" applyFill="1"/>
    <xf numFmtId="0" fontId="65" fillId="2" borderId="0" xfId="16" applyFont="1" applyFill="1" applyAlignment="1">
      <alignment horizontal="center"/>
    </xf>
    <xf numFmtId="0" fontId="6" fillId="2" borderId="24" xfId="16" applyFont="1" applyFill="1" applyBorder="1"/>
    <xf numFmtId="0" fontId="5" fillId="2" borderId="25" xfId="16" applyFont="1" applyFill="1" applyBorder="1" applyAlignment="1">
      <alignment horizontal="right"/>
    </xf>
    <xf numFmtId="0" fontId="6" fillId="2" borderId="1" xfId="16" applyFont="1" applyFill="1" applyBorder="1"/>
    <xf numFmtId="0" fontId="6" fillId="2" borderId="12" xfId="16" applyFont="1" applyFill="1" applyBorder="1"/>
    <xf numFmtId="0" fontId="39" fillId="2" borderId="1" xfId="16" applyFont="1" applyFill="1" applyBorder="1"/>
    <xf numFmtId="0" fontId="66" fillId="2" borderId="0" xfId="16" applyFont="1" applyFill="1"/>
    <xf numFmtId="0" fontId="66" fillId="2" borderId="12" xfId="16" applyFont="1" applyFill="1" applyBorder="1"/>
    <xf numFmtId="0" fontId="67" fillId="2" borderId="0" xfId="16" applyFont="1" applyFill="1"/>
    <xf numFmtId="0" fontId="66" fillId="2" borderId="1" xfId="16" applyFont="1" applyFill="1" applyBorder="1"/>
    <xf numFmtId="0" fontId="67" fillId="2" borderId="1" xfId="16" applyFont="1" applyFill="1" applyBorder="1"/>
    <xf numFmtId="0" fontId="66" fillId="2" borderId="0" xfId="16" applyFont="1" applyFill="1" applyAlignment="1">
      <alignment horizontal="left" indent="2"/>
    </xf>
    <xf numFmtId="0" fontId="66" fillId="2" borderId="0" xfId="16" applyFont="1" applyFill="1" applyAlignment="1">
      <alignment horizontal="left" indent="5"/>
    </xf>
    <xf numFmtId="0" fontId="66" fillId="2" borderId="0" xfId="16" applyFont="1" applyFill="1" applyAlignment="1">
      <alignment horizontal="left" indent="4"/>
    </xf>
    <xf numFmtId="0" fontId="4" fillId="2" borderId="1" xfId="16" applyFont="1" applyFill="1" applyBorder="1"/>
    <xf numFmtId="0" fontId="6" fillId="2" borderId="0" xfId="16" applyFont="1" applyFill="1" applyAlignment="1">
      <alignment horizontal="right"/>
    </xf>
    <xf numFmtId="0" fontId="3" fillId="2" borderId="12" xfId="16" applyFill="1" applyBorder="1"/>
    <xf numFmtId="0" fontId="6" fillId="2" borderId="1" xfId="0" applyFont="1" applyFill="1" applyBorder="1"/>
    <xf numFmtId="0" fontId="0" fillId="2" borderId="12" xfId="0" applyFill="1" applyBorder="1"/>
    <xf numFmtId="0" fontId="6" fillId="2" borderId="2" xfId="16" applyFont="1" applyFill="1" applyBorder="1"/>
    <xf numFmtId="0" fontId="6" fillId="2" borderId="3" xfId="16" applyFont="1" applyFill="1" applyBorder="1"/>
    <xf numFmtId="0" fontId="3" fillId="2" borderId="4" xfId="16" applyFill="1" applyBorder="1"/>
    <xf numFmtId="0" fontId="44" fillId="2" borderId="0" xfId="0" applyFont="1" applyFill="1" applyAlignment="1" applyProtection="1">
      <alignment horizontal="right"/>
      <protection locked="0"/>
    </xf>
    <xf numFmtId="0" fontId="44" fillId="2" borderId="0" xfId="0" applyFont="1" applyFill="1" applyAlignment="1">
      <alignment horizontal="left"/>
    </xf>
    <xf numFmtId="0" fontId="42" fillId="2" borderId="75" xfId="0" applyFont="1" applyFill="1" applyBorder="1" applyAlignment="1">
      <alignment horizontal="centerContinuous"/>
    </xf>
    <xf numFmtId="0" fontId="42" fillId="2" borderId="76" xfId="0" applyFont="1" applyFill="1" applyBorder="1" applyAlignment="1">
      <alignment horizontal="centerContinuous"/>
    </xf>
    <xf numFmtId="0" fontId="42" fillId="2" borderId="63" xfId="0" applyFont="1" applyFill="1" applyBorder="1" applyAlignment="1">
      <alignment horizontal="center"/>
    </xf>
    <xf numFmtId="0" fontId="42" fillId="2" borderId="75" xfId="0" applyFont="1" applyFill="1" applyBorder="1"/>
    <xf numFmtId="0" fontId="42" fillId="2" borderId="76" xfId="0" applyFont="1" applyFill="1" applyBorder="1"/>
    <xf numFmtId="0" fontId="42" fillId="2" borderId="9" xfId="0" applyFont="1" applyFill="1" applyBorder="1" applyAlignment="1">
      <alignment horizontal="centerContinuous"/>
    </xf>
    <xf numFmtId="0" fontId="42" fillId="2" borderId="10" xfId="0" applyFont="1" applyFill="1" applyBorder="1" applyAlignment="1">
      <alignment horizontal="centerContinuous"/>
    </xf>
    <xf numFmtId="0" fontId="42" fillId="2" borderId="11" xfId="0" applyFont="1" applyFill="1" applyBorder="1" applyAlignment="1">
      <alignment horizontal="center"/>
    </xf>
    <xf numFmtId="0" fontId="42" fillId="2" borderId="9" xfId="0" applyFont="1" applyFill="1" applyBorder="1"/>
    <xf numFmtId="0" fontId="42" fillId="2" borderId="10" xfId="0" applyFont="1" applyFill="1" applyBorder="1"/>
    <xf numFmtId="0" fontId="42" fillId="2" borderId="0" xfId="0" applyFont="1" applyFill="1" applyAlignment="1">
      <alignment horizontal="right" indent="1"/>
    </xf>
    <xf numFmtId="0" fontId="42" fillId="2" borderId="0" xfId="0" applyFont="1" applyFill="1" applyProtection="1">
      <protection locked="0"/>
    </xf>
    <xf numFmtId="0" fontId="42" fillId="2" borderId="0" xfId="0" applyFont="1" applyFill="1" applyAlignment="1" applyProtection="1">
      <alignment horizontal="right" indent="1"/>
      <protection locked="0"/>
    </xf>
    <xf numFmtId="0" fontId="42" fillId="0" borderId="90" xfId="0" applyFont="1" applyBorder="1" applyAlignment="1" applyProtection="1">
      <alignment horizontal="right"/>
      <protection locked="0"/>
    </xf>
    <xf numFmtId="0" fontId="42" fillId="0" borderId="90" xfId="0" applyFont="1" applyBorder="1" applyAlignment="1" applyProtection="1">
      <alignment horizontal="center"/>
      <protection locked="0"/>
    </xf>
    <xf numFmtId="0" fontId="42" fillId="2" borderId="0" xfId="0" applyFont="1" applyFill="1" applyAlignment="1" applyProtection="1">
      <alignment horizontal="right" vertical="center" indent="1"/>
      <protection locked="0"/>
    </xf>
    <xf numFmtId="0" fontId="12" fillId="2" borderId="0" xfId="16" applyFont="1" applyFill="1" applyAlignment="1">
      <alignment horizontal="center"/>
    </xf>
    <xf numFmtId="0" fontId="44" fillId="2" borderId="0" xfId="18" applyFont="1" applyFill="1" applyProtection="1">
      <protection locked="0"/>
    </xf>
    <xf numFmtId="0" fontId="41" fillId="2" borderId="0" xfId="18" applyFont="1" applyFill="1" applyProtection="1">
      <protection locked="0"/>
    </xf>
    <xf numFmtId="6" fontId="44" fillId="2" borderId="0" xfId="2" applyNumberFormat="1" applyFont="1" applyFill="1" applyAlignment="1" applyProtection="1">
      <alignment horizontal="right"/>
      <protection locked="0"/>
    </xf>
    <xf numFmtId="0" fontId="44" fillId="2" borderId="0" xfId="18" applyFont="1" applyFill="1" applyAlignment="1" applyProtection="1">
      <alignment horizontal="right"/>
      <protection locked="0"/>
    </xf>
    <xf numFmtId="0" fontId="44" fillId="2" borderId="0" xfId="18" applyFont="1" applyFill="1" applyAlignment="1" applyProtection="1">
      <alignment horizontal="centerContinuous"/>
      <protection locked="0"/>
    </xf>
    <xf numFmtId="0" fontId="41" fillId="2" borderId="0" xfId="18" applyFont="1" applyFill="1" applyAlignment="1" applyProtection="1">
      <alignment horizontal="centerContinuous"/>
      <protection locked="0"/>
    </xf>
    <xf numFmtId="6" fontId="41" fillId="2" borderId="0" xfId="2" applyNumberFormat="1" applyFont="1" applyFill="1" applyBorder="1" applyAlignment="1" applyProtection="1">
      <alignment horizontal="centerContinuous"/>
      <protection locked="0"/>
    </xf>
    <xf numFmtId="0" fontId="44" fillId="2" borderId="14" xfId="18" applyFont="1" applyFill="1" applyBorder="1" applyAlignment="1" applyProtection="1">
      <alignment horizontal="centerContinuous" vertical="top"/>
      <protection locked="0"/>
    </xf>
    <xf numFmtId="0" fontId="41" fillId="2" borderId="14" xfId="18" applyFont="1" applyFill="1" applyBorder="1" applyAlignment="1" applyProtection="1">
      <alignment horizontal="centerContinuous"/>
      <protection locked="0"/>
    </xf>
    <xf numFmtId="0" fontId="44" fillId="2" borderId="14" xfId="18" applyFont="1" applyFill="1" applyBorder="1" applyAlignment="1" applyProtection="1">
      <alignment horizontal="centerContinuous"/>
      <protection locked="0"/>
    </xf>
    <xf numFmtId="6" fontId="41" fillId="2" borderId="14" xfId="2" applyNumberFormat="1" applyFont="1" applyFill="1" applyBorder="1" applyAlignment="1" applyProtection="1">
      <alignment horizontal="centerContinuous"/>
      <protection locked="0"/>
    </xf>
    <xf numFmtId="6" fontId="42" fillId="2" borderId="91" xfId="2" applyNumberFormat="1" applyFont="1" applyFill="1" applyBorder="1" applyAlignment="1" applyProtection="1">
      <alignment horizontal="centerContinuous"/>
      <protection locked="0"/>
    </xf>
    <xf numFmtId="0" fontId="42" fillId="2" borderId="0" xfId="18" applyFont="1" applyFill="1" applyAlignment="1" applyProtection="1">
      <alignment horizontal="center"/>
      <protection locked="0"/>
    </xf>
    <xf numFmtId="0" fontId="42" fillId="2" borderId="0" xfId="18" applyFont="1" applyFill="1" applyAlignment="1" applyProtection="1">
      <alignment horizontal="centerContinuous"/>
      <protection locked="0"/>
    </xf>
    <xf numFmtId="6" fontId="42" fillId="2" borderId="0" xfId="2" applyNumberFormat="1" applyFont="1" applyFill="1" applyAlignment="1" applyProtection="1">
      <alignment horizontal="centerContinuous"/>
      <protection locked="0"/>
    </xf>
    <xf numFmtId="6" fontId="42" fillId="0" borderId="13" xfId="2" applyNumberFormat="1" applyFont="1" applyFill="1" applyBorder="1" applyAlignment="1" applyProtection="1">
      <alignment horizontal="center"/>
      <protection locked="0"/>
    </xf>
    <xf numFmtId="0" fontId="41" fillId="2" borderId="0" xfId="18" applyFont="1" applyFill="1" applyAlignment="1" applyProtection="1">
      <alignment horizontal="right"/>
      <protection locked="0"/>
    </xf>
    <xf numFmtId="0" fontId="42" fillId="2" borderId="0" xfId="0" applyFont="1" applyFill="1" applyAlignment="1" applyProtection="1">
      <alignment horizontal="center"/>
      <protection locked="0"/>
    </xf>
    <xf numFmtId="6" fontId="42" fillId="2" borderId="0" xfId="2" applyNumberFormat="1" applyFont="1" applyFill="1" applyBorder="1" applyAlignment="1" applyProtection="1">
      <alignment horizontal="center"/>
      <protection locked="0"/>
    </xf>
    <xf numFmtId="0" fontId="42" fillId="2" borderId="13" xfId="0" applyFont="1" applyFill="1" applyBorder="1" applyAlignment="1" applyProtection="1">
      <alignment horizontal="center"/>
      <protection locked="0"/>
    </xf>
    <xf numFmtId="0" fontId="42" fillId="2" borderId="0" xfId="0" applyFont="1" applyFill="1" applyAlignment="1" applyProtection="1">
      <alignment horizontal="left"/>
      <protection locked="0"/>
    </xf>
    <xf numFmtId="0" fontId="70" fillId="2" borderId="0" xfId="18" applyFont="1" applyFill="1" applyAlignment="1" applyProtection="1">
      <alignment horizontal="right"/>
      <protection locked="0"/>
    </xf>
    <xf numFmtId="0" fontId="71" fillId="2" borderId="0" xfId="18" applyFont="1" applyFill="1" applyAlignment="1" applyProtection="1">
      <alignment horizontal="left" indent="1"/>
      <protection locked="0"/>
    </xf>
    <xf numFmtId="0" fontId="70" fillId="2" borderId="0" xfId="18" applyFont="1" applyFill="1" applyAlignment="1" applyProtection="1">
      <alignment vertical="center"/>
      <protection locked="0"/>
    </xf>
    <xf numFmtId="0" fontId="72" fillId="2" borderId="0" xfId="18" applyFont="1" applyFill="1" applyAlignment="1" applyProtection="1">
      <alignment horizontal="centerContinuous"/>
      <protection locked="0"/>
    </xf>
    <xf numFmtId="6" fontId="72" fillId="2" borderId="0" xfId="2" applyNumberFormat="1" applyFont="1" applyFill="1" applyAlignment="1" applyProtection="1">
      <alignment horizontal="centerContinuous"/>
      <protection locked="0"/>
    </xf>
    <xf numFmtId="0" fontId="42" fillId="2" borderId="0" xfId="18" applyFont="1" applyFill="1" applyProtection="1">
      <protection locked="0"/>
    </xf>
    <xf numFmtId="0" fontId="73" fillId="2" borderId="0" xfId="3" applyFont="1" applyFill="1" applyAlignment="1" applyProtection="1">
      <protection locked="0"/>
    </xf>
    <xf numFmtId="6" fontId="41" fillId="2" borderId="0" xfId="2" applyNumberFormat="1" applyFont="1" applyFill="1" applyProtection="1">
      <protection locked="0"/>
    </xf>
    <xf numFmtId="0" fontId="42" fillId="2" borderId="0" xfId="18" applyFont="1" applyFill="1" applyAlignment="1" applyProtection="1">
      <alignment horizontal="right"/>
      <protection locked="0"/>
    </xf>
    <xf numFmtId="6" fontId="42" fillId="2" borderId="0" xfId="2" applyNumberFormat="1" applyFont="1" applyFill="1" applyAlignment="1" applyProtection="1">
      <alignment horizontal="right"/>
      <protection locked="0"/>
    </xf>
    <xf numFmtId="6" fontId="5" fillId="2" borderId="0" xfId="2" applyNumberFormat="1" applyFont="1" applyFill="1" applyAlignment="1" applyProtection="1">
      <alignment horizontal="left"/>
    </xf>
    <xf numFmtId="6" fontId="4" fillId="2" borderId="0" xfId="2" applyNumberFormat="1" applyFont="1" applyFill="1" applyAlignment="1" applyProtection="1">
      <alignment horizontal="right"/>
    </xf>
    <xf numFmtId="0" fontId="5" fillId="2" borderId="14" xfId="18" applyFont="1" applyFill="1" applyBorder="1" applyAlignment="1">
      <alignment horizontal="centerContinuous"/>
    </xf>
    <xf numFmtId="0" fontId="4" fillId="2" borderId="14" xfId="18" applyFill="1" applyBorder="1" applyAlignment="1">
      <alignment horizontal="centerContinuous"/>
    </xf>
    <xf numFmtId="6" fontId="4" fillId="2" borderId="14" xfId="2" applyNumberFormat="1" applyFont="1" applyFill="1" applyBorder="1" applyAlignment="1" applyProtection="1">
      <alignment horizontal="centerContinuous"/>
    </xf>
    <xf numFmtId="0" fontId="6" fillId="2" borderId="91" xfId="18" applyFont="1" applyFill="1" applyBorder="1" applyAlignment="1">
      <alignment horizontal="center"/>
    </xf>
    <xf numFmtId="0" fontId="6" fillId="2" borderId="91" xfId="18" applyFont="1" applyFill="1" applyBorder="1" applyAlignment="1">
      <alignment horizontal="center" wrapText="1"/>
    </xf>
    <xf numFmtId="6" fontId="6" fillId="2" borderId="91" xfId="2" applyNumberFormat="1" applyFont="1" applyFill="1" applyBorder="1" applyAlignment="1" applyProtection="1">
      <alignment horizontal="center" wrapText="1"/>
    </xf>
    <xf numFmtId="0" fontId="6" fillId="2" borderId="0" xfId="18" applyFont="1" applyFill="1" applyAlignment="1">
      <alignment horizontal="center"/>
    </xf>
    <xf numFmtId="0" fontId="6" fillId="0" borderId="13" xfId="0" applyFont="1" applyBorder="1" applyAlignment="1" applyProtection="1">
      <alignment horizontal="center"/>
      <protection locked="0"/>
    </xf>
    <xf numFmtId="10" fontId="23" fillId="2" borderId="13" xfId="7" applyNumberFormat="1" applyFont="1" applyFill="1" applyBorder="1" applyAlignment="1" applyProtection="1">
      <alignment horizontal="center"/>
      <protection locked="0"/>
    </xf>
    <xf numFmtId="0" fontId="6" fillId="2" borderId="0" xfId="0" applyFont="1" applyFill="1" applyAlignment="1">
      <alignment horizontal="center"/>
    </xf>
    <xf numFmtId="0" fontId="37" fillId="2" borderId="0" xfId="18" applyFont="1" applyFill="1" applyAlignment="1">
      <alignment horizontal="right" vertical="center"/>
    </xf>
    <xf numFmtId="0" fontId="23" fillId="2" borderId="92" xfId="0" applyFont="1" applyFill="1" applyBorder="1" applyAlignment="1">
      <alignment horizontal="center" vertical="center"/>
    </xf>
    <xf numFmtId="0" fontId="6" fillId="2" borderId="66" xfId="0" applyFont="1" applyFill="1" applyBorder="1" applyAlignment="1">
      <alignment horizontal="center"/>
    </xf>
    <xf numFmtId="0" fontId="6" fillId="2" borderId="0" xfId="18" applyFont="1" applyFill="1" applyAlignment="1">
      <alignment horizontal="left"/>
    </xf>
    <xf numFmtId="6" fontId="6" fillId="2" borderId="66" xfId="2" applyNumberFormat="1" applyFont="1" applyFill="1" applyBorder="1" applyAlignment="1" applyProtection="1">
      <alignment horizontal="right"/>
    </xf>
    <xf numFmtId="10" fontId="6" fillId="2" borderId="66" xfId="7" applyNumberFormat="1" applyFont="1" applyFill="1" applyBorder="1" applyAlignment="1" applyProtection="1">
      <alignment horizontal="center"/>
    </xf>
    <xf numFmtId="6" fontId="6" fillId="2" borderId="0" xfId="2" applyNumberFormat="1" applyFont="1" applyFill="1" applyBorder="1" applyAlignment="1" applyProtection="1">
      <alignment horizontal="right"/>
      <protection locked="0"/>
    </xf>
    <xf numFmtId="0" fontId="23" fillId="2" borderId="0" xfId="0" applyFont="1" applyFill="1" applyAlignment="1">
      <alignment horizontal="center" vertical="center"/>
    </xf>
    <xf numFmtId="0" fontId="6" fillId="2" borderId="0" xfId="18" applyFont="1" applyFill="1"/>
    <xf numFmtId="0" fontId="4" fillId="2" borderId="14" xfId="21" applyFont="1" applyFill="1" applyBorder="1"/>
    <xf numFmtId="0" fontId="5" fillId="2" borderId="14" xfId="21" applyFont="1" applyFill="1" applyBorder="1" applyAlignment="1">
      <alignment horizontal="center"/>
    </xf>
    <xf numFmtId="0" fontId="4" fillId="2" borderId="0" xfId="21" applyFont="1" applyFill="1"/>
    <xf numFmtId="0" fontId="4" fillId="2" borderId="0" xfId="21" applyFont="1" applyFill="1" applyAlignment="1">
      <alignment horizontal="center"/>
    </xf>
    <xf numFmtId="0" fontId="4" fillId="2" borderId="75" xfId="21" applyFont="1" applyFill="1" applyBorder="1" applyAlignment="1">
      <alignment horizontal="centerContinuous"/>
    </xf>
    <xf numFmtId="0" fontId="4" fillId="2" borderId="72" xfId="21" applyFont="1" applyFill="1" applyBorder="1" applyAlignment="1">
      <alignment horizontal="centerContinuous"/>
    </xf>
    <xf numFmtId="0" fontId="4" fillId="2" borderId="76" xfId="21" applyFont="1" applyFill="1" applyBorder="1" applyAlignment="1">
      <alignment horizontal="centerContinuous"/>
    </xf>
    <xf numFmtId="0" fontId="4" fillId="2" borderId="22" xfId="21" applyFont="1" applyFill="1" applyBorder="1"/>
    <xf numFmtId="0" fontId="4" fillId="2" borderId="5" xfId="21" applyFont="1" applyFill="1" applyBorder="1"/>
    <xf numFmtId="0" fontId="4" fillId="2" borderId="5" xfId="21" applyFont="1" applyFill="1" applyBorder="1" applyAlignment="1">
      <alignment horizontal="centerContinuous"/>
    </xf>
    <xf numFmtId="0" fontId="4" fillId="2" borderId="20" xfId="21" applyFont="1" applyFill="1" applyBorder="1" applyAlignment="1">
      <alignment horizontal="centerContinuous"/>
    </xf>
    <xf numFmtId="0" fontId="4" fillId="2" borderId="9" xfId="21" applyFont="1" applyFill="1" applyBorder="1"/>
    <xf numFmtId="0" fontId="4" fillId="2" borderId="10" xfId="21" applyFont="1" applyFill="1" applyBorder="1"/>
    <xf numFmtId="9" fontId="4" fillId="2" borderId="0" xfId="21" applyNumberFormat="1" applyFont="1" applyFill="1"/>
    <xf numFmtId="0" fontId="4" fillId="2" borderId="20" xfId="21" applyFont="1" applyFill="1" applyBorder="1"/>
    <xf numFmtId="0" fontId="6" fillId="2" borderId="0" xfId="21" applyFont="1" applyFill="1" applyAlignment="1">
      <alignment horizontal="right"/>
    </xf>
    <xf numFmtId="3" fontId="5" fillId="2" borderId="0" xfId="9" applyNumberFormat="1" applyFont="1" applyFill="1"/>
    <xf numFmtId="0" fontId="4" fillId="2" borderId="0" xfId="9" applyFont="1" applyFill="1"/>
    <xf numFmtId="0" fontId="5" fillId="2" borderId="0" xfId="9" applyFont="1" applyFill="1"/>
    <xf numFmtId="0" fontId="4" fillId="2" borderId="0" xfId="20" applyFill="1"/>
    <xf numFmtId="14" fontId="4" fillId="2" borderId="0" xfId="20" applyNumberFormat="1" applyFill="1"/>
    <xf numFmtId="0" fontId="5" fillId="2" borderId="0" xfId="20" applyFont="1" applyFill="1"/>
    <xf numFmtId="40" fontId="4" fillId="2" borderId="0" xfId="1" applyFont="1" applyFill="1"/>
    <xf numFmtId="0" fontId="4" fillId="2" borderId="23" xfId="20" applyFill="1" applyBorder="1"/>
    <xf numFmtId="0" fontId="4" fillId="2" borderId="24" xfId="20" applyFill="1" applyBorder="1"/>
    <xf numFmtId="0" fontId="4" fillId="2" borderId="25" xfId="20" applyFill="1" applyBorder="1"/>
    <xf numFmtId="0" fontId="4" fillId="2" borderId="1" xfId="20" applyFill="1" applyBorder="1"/>
    <xf numFmtId="0" fontId="5" fillId="2" borderId="0" xfId="20" applyFont="1" applyFill="1" applyAlignment="1">
      <alignment horizontal="center"/>
    </xf>
    <xf numFmtId="0" fontId="5" fillId="2" borderId="1" xfId="20" applyFont="1" applyFill="1" applyBorder="1"/>
    <xf numFmtId="3" fontId="28" fillId="0" borderId="93" xfId="10" applyNumberFormat="1" applyFont="1" applyFill="1" applyBorder="1" applyProtection="1">
      <protection locked="0"/>
    </xf>
    <xf numFmtId="3" fontId="28" fillId="0" borderId="93" xfId="10" applyNumberFormat="1" applyFont="1" applyFill="1" applyBorder="1" applyAlignment="1" applyProtection="1">
      <protection locked="0"/>
    </xf>
    <xf numFmtId="0" fontId="28" fillId="0" borderId="93" xfId="20" applyFont="1" applyBorder="1" applyAlignment="1" applyProtection="1">
      <alignment horizontal="center"/>
      <protection locked="0"/>
    </xf>
    <xf numFmtId="10" fontId="28" fillId="0" borderId="93" xfId="20" applyNumberFormat="1" applyFont="1" applyBorder="1" applyAlignment="1" applyProtection="1">
      <alignment horizontal="center"/>
      <protection locked="0"/>
    </xf>
    <xf numFmtId="3" fontId="28" fillId="2" borderId="0" xfId="10" applyNumberFormat="1" applyFont="1" applyFill="1" applyBorder="1" applyAlignment="1"/>
    <xf numFmtId="0" fontId="28" fillId="2" borderId="0" xfId="20" applyFont="1" applyFill="1" applyAlignment="1">
      <alignment horizontal="center"/>
    </xf>
    <xf numFmtId="176" fontId="4" fillId="2" borderId="0" xfId="22" applyNumberFormat="1" applyFill="1" applyBorder="1"/>
    <xf numFmtId="0" fontId="4" fillId="2" borderId="0" xfId="20" applyFill="1" applyAlignment="1">
      <alignment horizontal="right"/>
    </xf>
    <xf numFmtId="10" fontId="28" fillId="0" borderId="93" xfId="20" applyNumberFormat="1" applyFont="1" applyBorder="1" applyProtection="1">
      <protection locked="0"/>
    </xf>
    <xf numFmtId="176" fontId="5" fillId="2" borderId="0" xfId="22" applyNumberFormat="1" applyFont="1" applyFill="1" applyBorder="1" applyAlignment="1">
      <alignment horizontal="center"/>
    </xf>
    <xf numFmtId="10" fontId="5" fillId="2" borderId="0" xfId="20" applyNumberFormat="1" applyFont="1" applyFill="1" applyAlignment="1">
      <alignment horizontal="center"/>
    </xf>
    <xf numFmtId="173" fontId="5" fillId="2" borderId="0" xfId="20" applyNumberFormat="1" applyFont="1" applyFill="1" applyAlignment="1">
      <alignment horizontal="center"/>
    </xf>
    <xf numFmtId="0" fontId="5" fillId="2" borderId="1" xfId="20" applyFont="1" applyFill="1" applyBorder="1" applyAlignment="1">
      <alignment horizontal="left"/>
    </xf>
    <xf numFmtId="173" fontId="4" fillId="2" borderId="0" xfId="20" applyNumberFormat="1" applyFill="1" applyAlignment="1">
      <alignment horizontal="center"/>
    </xf>
    <xf numFmtId="0" fontId="4" fillId="2" borderId="1" xfId="20" applyFill="1" applyBorder="1" applyAlignment="1">
      <alignment horizontal="center"/>
    </xf>
    <xf numFmtId="8" fontId="4" fillId="2" borderId="0" xfId="20" applyNumberFormat="1" applyFill="1"/>
    <xf numFmtId="164" fontId="75" fillId="2" borderId="0" xfId="22" applyNumberFormat="1" applyFont="1" applyFill="1" applyBorder="1"/>
    <xf numFmtId="178" fontId="4" fillId="2" borderId="0" xfId="20" applyNumberFormat="1" applyFill="1"/>
    <xf numFmtId="43" fontId="4" fillId="2" borderId="0" xfId="22" applyFill="1" applyBorder="1"/>
    <xf numFmtId="0" fontId="21" fillId="2" borderId="0" xfId="20" applyFont="1" applyFill="1"/>
    <xf numFmtId="6" fontId="4" fillId="2" borderId="0" xfId="20" applyNumberFormat="1" applyFill="1"/>
    <xf numFmtId="0" fontId="67" fillId="2" borderId="0" xfId="16" applyFont="1" applyFill="1" applyAlignment="1">
      <alignment horizontal="left" indent="1"/>
    </xf>
    <xf numFmtId="0" fontId="12" fillId="2" borderId="1" xfId="16" applyFont="1" applyFill="1" applyBorder="1" applyAlignment="1">
      <alignment horizontal="center"/>
    </xf>
    <xf numFmtId="0" fontId="39" fillId="2" borderId="1" xfId="16" applyFont="1" applyFill="1" applyBorder="1" applyAlignment="1">
      <alignment horizontal="left" indent="2"/>
    </xf>
    <xf numFmtId="38" fontId="41" fillId="2" borderId="5" xfId="1" applyNumberFormat="1" applyFont="1" applyFill="1" applyBorder="1"/>
    <xf numFmtId="0" fontId="41" fillId="2" borderId="0" xfId="9" applyFont="1" applyFill="1" applyAlignment="1">
      <alignment horizontal="left" indent="4"/>
    </xf>
    <xf numFmtId="0" fontId="44" fillId="2" borderId="0" xfId="9" applyFont="1" applyFill="1" applyAlignment="1">
      <alignment horizontal="left" indent="4"/>
    </xf>
    <xf numFmtId="0" fontId="41" fillId="2" borderId="0" xfId="9" applyFont="1" applyFill="1" applyAlignment="1">
      <alignment horizontal="left" indent="6"/>
    </xf>
    <xf numFmtId="9" fontId="41" fillId="2" borderId="0" xfId="9" applyNumberFormat="1" applyFont="1" applyFill="1" applyAlignment="1">
      <alignment horizontal="center"/>
    </xf>
    <xf numFmtId="0" fontId="54" fillId="2" borderId="0" xfId="16" applyFont="1" applyFill="1" applyAlignment="1">
      <alignment horizontal="left" indent="6"/>
    </xf>
    <xf numFmtId="0" fontId="41" fillId="2" borderId="0" xfId="0" applyFont="1" applyFill="1" applyAlignment="1">
      <alignment horizontal="left" indent="2"/>
    </xf>
    <xf numFmtId="0" fontId="4" fillId="2" borderId="94" xfId="5" applyFont="1" applyFill="1" applyBorder="1"/>
    <xf numFmtId="49" fontId="13" fillId="6" borderId="0" xfId="18" applyNumberFormat="1" applyFont="1" applyFill="1" applyAlignment="1">
      <alignment vertical="top"/>
    </xf>
    <xf numFmtId="0" fontId="12" fillId="2" borderId="68" xfId="18" applyFont="1" applyFill="1" applyBorder="1" applyAlignment="1">
      <alignment horizontal="center" vertical="top"/>
    </xf>
    <xf numFmtId="0" fontId="12" fillId="2" borderId="78" xfId="18" applyFont="1" applyFill="1" applyBorder="1" applyAlignment="1">
      <alignment horizontal="center" vertical="top"/>
    </xf>
    <xf numFmtId="0" fontId="8" fillId="2" borderId="0" xfId="6" applyFill="1" applyAlignment="1">
      <alignment vertical="top"/>
    </xf>
    <xf numFmtId="49" fontId="10" fillId="2" borderId="66" xfId="18" applyNumberFormat="1" applyFont="1" applyFill="1" applyBorder="1" applyAlignment="1">
      <alignment vertical="top" wrapText="1"/>
    </xf>
    <xf numFmtId="10" fontId="12" fillId="2" borderId="66" xfId="7" applyNumberFormat="1" applyFont="1" applyFill="1" applyBorder="1" applyAlignment="1" applyProtection="1">
      <alignment horizontal="center" vertical="center"/>
    </xf>
    <xf numFmtId="0" fontId="12" fillId="2" borderId="66" xfId="18" applyFont="1" applyFill="1" applyBorder="1" applyAlignment="1">
      <alignment horizontal="center" vertical="center"/>
    </xf>
    <xf numFmtId="38" fontId="12" fillId="2" borderId="66" xfId="1" applyNumberFormat="1" applyFont="1" applyFill="1" applyBorder="1" applyAlignment="1" applyProtection="1">
      <alignment horizontal="right" vertical="center"/>
    </xf>
    <xf numFmtId="0" fontId="12" fillId="2" borderId="77" xfId="18" applyFont="1" applyFill="1" applyBorder="1" applyAlignment="1">
      <alignment horizontal="left" vertical="center" indent="1"/>
    </xf>
    <xf numFmtId="38" fontId="12" fillId="0" borderId="66" xfId="1" applyNumberFormat="1" applyFont="1" applyFill="1" applyBorder="1" applyAlignment="1" applyProtection="1">
      <alignment vertical="center"/>
      <protection locked="0"/>
    </xf>
    <xf numFmtId="49" fontId="6" fillId="2" borderId="66" xfId="18" applyNumberFormat="1" applyFont="1" applyFill="1" applyBorder="1" applyAlignment="1">
      <alignment vertical="top" wrapText="1"/>
    </xf>
    <xf numFmtId="0" fontId="6" fillId="0" borderId="75" xfId="9" applyFont="1" applyBorder="1"/>
    <xf numFmtId="38" fontId="6" fillId="0" borderId="76" xfId="1" applyNumberFormat="1" applyFont="1" applyBorder="1"/>
    <xf numFmtId="9" fontId="6" fillId="0" borderId="20" xfId="7" applyFont="1" applyBorder="1" applyAlignment="1">
      <alignment horizontal="center"/>
    </xf>
    <xf numFmtId="37" fontId="6" fillId="0" borderId="76" xfId="9" applyNumberFormat="1" applyFont="1" applyBorder="1"/>
    <xf numFmtId="0" fontId="10" fillId="0" borderId="9" xfId="9" applyFont="1" applyBorder="1"/>
    <xf numFmtId="10" fontId="10" fillId="0" borderId="10" xfId="11" applyNumberFormat="1" applyFont="1" applyBorder="1"/>
    <xf numFmtId="165" fontId="6" fillId="8" borderId="0" xfId="9" applyNumberFormat="1" applyFont="1" applyFill="1" applyAlignment="1">
      <alignment horizontal="center"/>
    </xf>
    <xf numFmtId="9" fontId="10" fillId="5" borderId="10" xfId="11" applyFont="1" applyFill="1" applyBorder="1" applyAlignment="1">
      <alignment horizontal="center"/>
    </xf>
    <xf numFmtId="0" fontId="5" fillId="2" borderId="23" xfId="5" applyFont="1" applyFill="1" applyBorder="1" applyAlignment="1">
      <alignment horizontal="left" indent="2"/>
    </xf>
    <xf numFmtId="0" fontId="4" fillId="2" borderId="1" xfId="5" applyFont="1" applyFill="1" applyBorder="1" applyAlignment="1">
      <alignment horizontal="left" indent="3"/>
    </xf>
    <xf numFmtId="0" fontId="77" fillId="2" borderId="0" xfId="3" applyFont="1" applyFill="1" applyBorder="1" applyAlignment="1" applyProtection="1">
      <alignment horizontal="left" vertical="center" wrapText="1" indent="1"/>
    </xf>
    <xf numFmtId="0" fontId="77" fillId="2" borderId="94" xfId="3" applyFont="1" applyFill="1" applyBorder="1" applyAlignment="1" applyProtection="1">
      <alignment horizontal="left" vertical="center" wrapText="1" indent="1"/>
    </xf>
    <xf numFmtId="9" fontId="6" fillId="3" borderId="13" xfId="7" applyFont="1" applyFill="1" applyBorder="1" applyAlignment="1" applyProtection="1">
      <alignment horizontal="center"/>
      <protection locked="0"/>
    </xf>
    <xf numFmtId="167" fontId="6" fillId="2" borderId="13" xfId="0" applyNumberFormat="1" applyFont="1" applyFill="1" applyBorder="1" applyAlignment="1">
      <alignment horizontal="center"/>
    </xf>
    <xf numFmtId="1" fontId="6" fillId="3" borderId="0" xfId="9" applyNumberFormat="1" applyFont="1" applyFill="1"/>
    <xf numFmtId="10" fontId="6" fillId="2" borderId="13" xfId="7" applyNumberFormat="1" applyFont="1" applyFill="1" applyBorder="1" applyAlignment="1" applyProtection="1">
      <alignment horizontal="center"/>
    </xf>
    <xf numFmtId="0" fontId="12" fillId="2" borderId="37" xfId="16" applyFont="1" applyFill="1" applyBorder="1" applyAlignment="1">
      <alignment horizontal="center"/>
    </xf>
    <xf numFmtId="0" fontId="41" fillId="2" borderId="0" xfId="9" applyFont="1" applyFill="1" applyProtection="1">
      <protection locked="0"/>
    </xf>
    <xf numFmtId="173" fontId="6" fillId="0" borderId="0" xfId="9" applyNumberFormat="1" applyFont="1"/>
    <xf numFmtId="3" fontId="41" fillId="2" borderId="5" xfId="9" applyNumberFormat="1" applyFont="1" applyFill="1" applyBorder="1"/>
    <xf numFmtId="10" fontId="6" fillId="0" borderId="0" xfId="11" applyNumberFormat="1" applyFont="1" applyFill="1" applyBorder="1" applyProtection="1"/>
    <xf numFmtId="3" fontId="6" fillId="0" borderId="61" xfId="9" applyNumberFormat="1" applyFont="1" applyBorder="1"/>
    <xf numFmtId="14" fontId="6" fillId="3" borderId="5" xfId="9" applyNumberFormat="1" applyFont="1" applyFill="1" applyBorder="1"/>
    <xf numFmtId="14" fontId="6" fillId="3" borderId="20" xfId="9" applyNumberFormat="1" applyFont="1" applyFill="1" applyBorder="1"/>
    <xf numFmtId="0" fontId="42" fillId="0" borderId="29" xfId="0" applyFont="1" applyBorder="1" applyAlignment="1" applyProtection="1">
      <alignment horizontal="center"/>
      <protection locked="0"/>
    </xf>
    <xf numFmtId="0" fontId="42" fillId="0" borderId="29" xfId="0" applyFont="1" applyBorder="1" applyAlignment="1" applyProtection="1">
      <alignment horizontal="left" indent="1"/>
      <protection locked="0"/>
    </xf>
    <xf numFmtId="0" fontId="42" fillId="0" borderId="31" xfId="0" applyFont="1" applyBorder="1" applyAlignment="1" applyProtection="1">
      <alignment horizontal="left" indent="1"/>
      <protection locked="0"/>
    </xf>
    <xf numFmtId="0" fontId="42" fillId="0" borderId="30" xfId="0" applyFont="1" applyBorder="1" applyAlignment="1" applyProtection="1">
      <alignment horizontal="left" indent="1"/>
      <protection locked="0"/>
    </xf>
    <xf numFmtId="0" fontId="42" fillId="0" borderId="30" xfId="0" applyFont="1" applyBorder="1" applyAlignment="1" applyProtection="1">
      <alignment horizontal="center"/>
      <protection locked="0"/>
    </xf>
    <xf numFmtId="0" fontId="42" fillId="2" borderId="91" xfId="18" applyFont="1" applyFill="1" applyBorder="1" applyAlignment="1" applyProtection="1">
      <alignment horizontal="center"/>
      <protection locked="0"/>
    </xf>
    <xf numFmtId="0" fontId="42" fillId="2" borderId="91" xfId="18" applyFont="1" applyFill="1" applyBorder="1" applyAlignment="1" applyProtection="1">
      <alignment horizontal="center" wrapText="1"/>
      <protection locked="0"/>
    </xf>
    <xf numFmtId="0" fontId="5" fillId="2" borderId="94" xfId="20" applyFont="1" applyFill="1" applyBorder="1" applyAlignment="1">
      <alignment horizontal="center"/>
    </xf>
    <xf numFmtId="0" fontId="4" fillId="2" borderId="94" xfId="20" applyFill="1" applyBorder="1"/>
    <xf numFmtId="3" fontId="5" fillId="2" borderId="94" xfId="10" applyNumberFormat="1" applyFont="1" applyFill="1" applyBorder="1"/>
    <xf numFmtId="10" fontId="28" fillId="2" borderId="94" xfId="20" applyNumberFormat="1" applyFont="1" applyFill="1" applyBorder="1" applyAlignment="1">
      <alignment horizontal="center"/>
    </xf>
    <xf numFmtId="3" fontId="28" fillId="2" borderId="94" xfId="10" applyNumberFormat="1" applyFont="1" applyFill="1" applyBorder="1"/>
    <xf numFmtId="9" fontId="4" fillId="2" borderId="94" xfId="20" applyNumberFormat="1" applyFill="1" applyBorder="1"/>
    <xf numFmtId="9" fontId="5" fillId="2" borderId="94" xfId="20" applyNumberFormat="1" applyFont="1" applyFill="1" applyBorder="1"/>
    <xf numFmtId="0" fontId="22" fillId="2" borderId="94" xfId="20" applyFont="1" applyFill="1" applyBorder="1"/>
    <xf numFmtId="174" fontId="28" fillId="2" borderId="93" xfId="20" applyNumberFormat="1" applyFont="1" applyFill="1" applyBorder="1" applyAlignment="1">
      <alignment horizontal="right"/>
    </xf>
    <xf numFmtId="10" fontId="5" fillId="2" borderId="94" xfId="20" applyNumberFormat="1" applyFont="1" applyFill="1" applyBorder="1"/>
    <xf numFmtId="0" fontId="4" fillId="2" borderId="94" xfId="20" applyFill="1" applyBorder="1" applyAlignment="1">
      <alignment horizontal="center"/>
    </xf>
    <xf numFmtId="8" fontId="4" fillId="2" borderId="94" xfId="20" applyNumberFormat="1" applyFill="1" applyBorder="1"/>
    <xf numFmtId="176" fontId="4" fillId="2" borderId="94" xfId="20" applyNumberFormat="1" applyFill="1" applyBorder="1"/>
    <xf numFmtId="176" fontId="4" fillId="2" borderId="94" xfId="22" applyNumberFormat="1" applyFont="1" applyFill="1" applyBorder="1"/>
    <xf numFmtId="0" fontId="5" fillId="2" borderId="95" xfId="20" applyFont="1" applyFill="1" applyBorder="1"/>
    <xf numFmtId="6" fontId="74" fillId="2" borderId="97" xfId="12" applyNumberFormat="1" applyFont="1" applyFill="1" applyBorder="1"/>
    <xf numFmtId="0" fontId="21" fillId="2" borderId="94" xfId="20" applyFont="1" applyFill="1" applyBorder="1"/>
    <xf numFmtId="3" fontId="4" fillId="2" borderId="94" xfId="10" applyNumberFormat="1" applyFont="1" applyFill="1" applyBorder="1"/>
    <xf numFmtId="0" fontId="4" fillId="2" borderId="96" xfId="20" applyFill="1" applyBorder="1"/>
    <xf numFmtId="6" fontId="76" fillId="2" borderId="96" xfId="20" applyNumberFormat="1" applyFont="1" applyFill="1" applyBorder="1"/>
    <xf numFmtId="6" fontId="74" fillId="2" borderId="97" xfId="20" applyNumberFormat="1" applyFont="1" applyFill="1" applyBorder="1"/>
    <xf numFmtId="6" fontId="4" fillId="2" borderId="0" xfId="2" applyNumberFormat="1" applyFont="1" applyFill="1"/>
    <xf numFmtId="3" fontId="6" fillId="0" borderId="0" xfId="9" applyNumberFormat="1" applyFont="1" applyAlignment="1">
      <alignment horizontal="right"/>
    </xf>
    <xf numFmtId="3" fontId="6" fillId="0" borderId="10" xfId="9" applyNumberFormat="1" applyFont="1" applyBorder="1"/>
    <xf numFmtId="3" fontId="6" fillId="0" borderId="61" xfId="9" applyNumberFormat="1" applyFont="1" applyBorder="1" applyAlignment="1">
      <alignment horizontal="right"/>
    </xf>
    <xf numFmtId="3" fontId="6" fillId="0" borderId="62" xfId="9" applyNumberFormat="1" applyFont="1" applyBorder="1"/>
    <xf numFmtId="3" fontId="10" fillId="0" borderId="5" xfId="9" applyNumberFormat="1" applyFont="1" applyBorder="1"/>
    <xf numFmtId="38" fontId="6" fillId="0" borderId="20" xfId="1" applyNumberFormat="1" applyFont="1" applyBorder="1" applyAlignment="1">
      <alignment horizontal="right"/>
    </xf>
    <xf numFmtId="3" fontId="6" fillId="3" borderId="0" xfId="9" quotePrefix="1" applyNumberFormat="1" applyFont="1" applyFill="1"/>
    <xf numFmtId="38" fontId="6" fillId="0" borderId="0" xfId="1" applyNumberFormat="1" applyFont="1" applyBorder="1"/>
    <xf numFmtId="0" fontId="45" fillId="2" borderId="0" xfId="0" applyFont="1" applyFill="1" applyAlignment="1">
      <alignment horizontal="left" indent="4"/>
    </xf>
    <xf numFmtId="38" fontId="6" fillId="13" borderId="5" xfId="0" applyNumberFormat="1" applyFont="1" applyFill="1" applyBorder="1" applyAlignment="1">
      <alignment horizontal="centerContinuous"/>
    </xf>
    <xf numFmtId="38" fontId="6" fillId="0" borderId="0" xfId="0" applyNumberFormat="1" applyFont="1"/>
    <xf numFmtId="0" fontId="6" fillId="0" borderId="0" xfId="0" applyFont="1" applyAlignment="1">
      <alignment horizontal="centerContinuous"/>
    </xf>
    <xf numFmtId="38" fontId="6" fillId="14" borderId="5" xfId="0" applyNumberFormat="1" applyFont="1" applyFill="1" applyBorder="1"/>
    <xf numFmtId="38" fontId="10" fillId="0" borderId="0" xfId="0" applyNumberFormat="1" applyFont="1" applyAlignment="1">
      <alignment horizontal="center"/>
    </xf>
    <xf numFmtId="0" fontId="6" fillId="0" borderId="9" xfId="0" applyFont="1" applyBorder="1"/>
    <xf numFmtId="0" fontId="10" fillId="0" borderId="0" xfId="0" applyFont="1" applyAlignment="1">
      <alignment horizontal="left"/>
    </xf>
    <xf numFmtId="0" fontId="10" fillId="0" borderId="0" xfId="0" applyFont="1"/>
    <xf numFmtId="38" fontId="6" fillId="0" borderId="0" xfId="0" applyNumberFormat="1" applyFont="1" applyAlignment="1">
      <alignment horizontal="center"/>
    </xf>
    <xf numFmtId="165" fontId="6" fillId="14" borderId="5" xfId="0" applyNumberFormat="1" applyFont="1" applyFill="1" applyBorder="1" applyAlignment="1">
      <alignment horizontal="centerContinuous"/>
    </xf>
    <xf numFmtId="165" fontId="6" fillId="0" borderId="0" xfId="0" applyNumberFormat="1" applyFont="1"/>
    <xf numFmtId="38" fontId="6" fillId="0" borderId="77" xfId="0" applyNumberFormat="1" applyFont="1" applyBorder="1" applyAlignment="1">
      <alignment horizontal="center"/>
    </xf>
    <xf numFmtId="38" fontId="6" fillId="0" borderId="68" xfId="0" applyNumberFormat="1" applyFont="1" applyBorder="1" applyAlignment="1">
      <alignment horizontal="center"/>
    </xf>
    <xf numFmtId="38" fontId="6" fillId="0" borderId="68" xfId="0" applyNumberFormat="1" applyFont="1" applyBorder="1" applyAlignment="1">
      <alignment horizontal="right"/>
    </xf>
    <xf numFmtId="38" fontId="6" fillId="15" borderId="68" xfId="0" applyNumberFormat="1" applyFont="1" applyFill="1" applyBorder="1" applyAlignment="1">
      <alignment horizontal="center"/>
    </xf>
    <xf numFmtId="38" fontId="6" fillId="0" borderId="68" xfId="0" applyNumberFormat="1" applyFont="1" applyBorder="1" applyAlignment="1">
      <alignment horizontal="left"/>
    </xf>
    <xf numFmtId="38" fontId="6" fillId="0" borderId="78" xfId="0" applyNumberFormat="1" applyFont="1" applyBorder="1" applyAlignment="1">
      <alignment horizontal="center"/>
    </xf>
    <xf numFmtId="0" fontId="6" fillId="0" borderId="0" xfId="0" applyFont="1" applyAlignment="1">
      <alignment horizontal="center"/>
    </xf>
    <xf numFmtId="3" fontId="6" fillId="0" borderId="0" xfId="0" applyNumberFormat="1" applyFont="1"/>
    <xf numFmtId="3" fontId="6" fillId="0" borderId="9" xfId="0" applyNumberFormat="1" applyFont="1" applyBorder="1"/>
    <xf numFmtId="38" fontId="6" fillId="0" borderId="0" xfId="0" applyNumberFormat="1" applyFont="1" applyAlignment="1">
      <alignment horizontal="centerContinuous"/>
    </xf>
    <xf numFmtId="38" fontId="6" fillId="0" borderId="0" xfId="0" applyNumberFormat="1" applyFont="1" applyAlignment="1">
      <alignment horizontal="left"/>
    </xf>
    <xf numFmtId="0" fontId="9" fillId="0" borderId="0" xfId="0" applyFont="1" applyAlignment="1">
      <alignment horizontal="center"/>
    </xf>
    <xf numFmtId="10" fontId="6" fillId="13" borderId="0" xfId="23" applyNumberFormat="1" applyFont="1" applyFill="1" applyAlignment="1">
      <alignment horizontal="center"/>
    </xf>
    <xf numFmtId="0" fontId="6" fillId="0" borderId="14" xfId="0" applyFont="1" applyBorder="1"/>
    <xf numFmtId="38" fontId="6" fillId="13" borderId="100" xfId="0" applyNumberFormat="1" applyFont="1" applyFill="1" applyBorder="1" applyAlignment="1">
      <alignment horizontal="centerContinuous"/>
    </xf>
    <xf numFmtId="38" fontId="6" fillId="0" borderId="14" xfId="0" applyNumberFormat="1" applyFont="1" applyBorder="1"/>
    <xf numFmtId="38" fontId="6" fillId="0" borderId="14" xfId="0" applyNumberFormat="1" applyFont="1" applyBorder="1" applyAlignment="1">
      <alignment horizontal="center"/>
    </xf>
    <xf numFmtId="38" fontId="6" fillId="0" borderId="14" xfId="0" applyNumberFormat="1" applyFont="1" applyBorder="1" applyAlignment="1">
      <alignment horizontal="centerContinuous"/>
    </xf>
    <xf numFmtId="10" fontId="6" fillId="13" borderId="14" xfId="0" applyNumberFormat="1" applyFont="1" applyFill="1" applyBorder="1"/>
    <xf numFmtId="10" fontId="6" fillId="0" borderId="14" xfId="0" applyNumberFormat="1" applyFont="1" applyBorder="1" applyAlignment="1">
      <alignment horizontal="center"/>
    </xf>
    <xf numFmtId="10" fontId="6" fillId="0" borderId="14" xfId="0" applyNumberFormat="1" applyFont="1" applyBorder="1"/>
    <xf numFmtId="10" fontId="6" fillId="0" borderId="0" xfId="0" applyNumberFormat="1" applyFont="1"/>
    <xf numFmtId="38" fontId="6" fillId="0" borderId="0" xfId="0" applyNumberFormat="1" applyFont="1" applyAlignment="1">
      <alignment horizontal="right"/>
    </xf>
    <xf numFmtId="38" fontId="6" fillId="13" borderId="5" xfId="24" applyNumberFormat="1" applyFont="1" applyFill="1" applyBorder="1"/>
    <xf numFmtId="38" fontId="6" fillId="0" borderId="0" xfId="24" applyNumberFormat="1" applyFont="1" applyAlignment="1">
      <alignment horizontal="center"/>
    </xf>
    <xf numFmtId="0" fontId="6" fillId="0" borderId="0" xfId="0" applyFont="1" applyAlignment="1">
      <alignment horizontal="left" indent="1"/>
    </xf>
    <xf numFmtId="38" fontId="6" fillId="13" borderId="5" xfId="0" applyNumberFormat="1" applyFont="1" applyFill="1" applyBorder="1"/>
    <xf numFmtId="38" fontId="6" fillId="15" borderId="5" xfId="0" applyNumberFormat="1" applyFont="1" applyFill="1" applyBorder="1"/>
    <xf numFmtId="38" fontId="6" fillId="0" borderId="5" xfId="0" applyNumberFormat="1" applyFont="1" applyBorder="1" applyAlignment="1">
      <alignment horizontal="center"/>
    </xf>
    <xf numFmtId="38" fontId="6" fillId="0" borderId="5" xfId="0" applyNumberFormat="1" applyFont="1" applyBorder="1"/>
    <xf numFmtId="3" fontId="6" fillId="0" borderId="84" xfId="0" applyNumberFormat="1" applyFont="1" applyBorder="1"/>
    <xf numFmtId="3" fontId="10" fillId="0" borderId="0" xfId="0" applyNumberFormat="1" applyFont="1"/>
    <xf numFmtId="179" fontId="6" fillId="13" borderId="101" xfId="0" applyNumberFormat="1" applyFont="1" applyFill="1" applyBorder="1" applyAlignment="1">
      <alignment horizontal="center"/>
    </xf>
    <xf numFmtId="38" fontId="6" fillId="15" borderId="5" xfId="0" applyNumberFormat="1" applyFont="1" applyFill="1" applyBorder="1" applyAlignment="1">
      <alignment horizontal="center"/>
    </xf>
    <xf numFmtId="38" fontId="6" fillId="0" borderId="5" xfId="0" applyNumberFormat="1" applyFont="1" applyBorder="1" applyAlignment="1">
      <alignment horizontal="centerContinuous"/>
    </xf>
    <xf numFmtId="38" fontId="10" fillId="0" borderId="28" xfId="0" applyNumberFormat="1" applyFont="1" applyBorder="1" applyAlignment="1">
      <alignment horizontal="center"/>
    </xf>
    <xf numFmtId="38" fontId="6" fillId="0" borderId="28" xfId="0" applyNumberFormat="1" applyFont="1" applyBorder="1"/>
    <xf numFmtId="0" fontId="6" fillId="16" borderId="0" xfId="0" applyFont="1" applyFill="1"/>
    <xf numFmtId="0" fontId="6" fillId="0" borderId="22" xfId="0" applyFont="1" applyBorder="1" applyAlignment="1">
      <alignment horizontal="center"/>
    </xf>
    <xf numFmtId="0" fontId="6" fillId="0" borderId="5" xfId="0" applyFont="1" applyBorder="1" applyAlignment="1">
      <alignment horizontal="center"/>
    </xf>
    <xf numFmtId="0" fontId="6" fillId="0" borderId="5" xfId="0" applyFont="1" applyBorder="1" applyAlignment="1">
      <alignment horizontal="centerContinuous"/>
    </xf>
    <xf numFmtId="0" fontId="6" fillId="0" borderId="5" xfId="0" applyFont="1" applyBorder="1"/>
    <xf numFmtId="0" fontId="6" fillId="0" borderId="75" xfId="0" applyFont="1" applyBorder="1" applyAlignment="1">
      <alignment horizontal="left" indent="1"/>
    </xf>
    <xf numFmtId="38" fontId="6" fillId="13" borderId="68" xfId="0" applyNumberFormat="1" applyFont="1" applyFill="1" applyBorder="1"/>
    <xf numFmtId="38" fontId="6" fillId="0" borderId="76" xfId="0" applyNumberFormat="1" applyFont="1" applyBorder="1"/>
    <xf numFmtId="0" fontId="6" fillId="0" borderId="75" xfId="0" applyFont="1" applyBorder="1" applyAlignment="1">
      <alignment horizontal="centerContinuous"/>
    </xf>
    <xf numFmtId="0" fontId="6" fillId="0" borderId="72" xfId="0" applyFont="1" applyBorder="1" applyAlignment="1">
      <alignment horizontal="centerContinuous"/>
    </xf>
    <xf numFmtId="0" fontId="6" fillId="0" borderId="76" xfId="0" applyFont="1" applyBorder="1" applyAlignment="1">
      <alignment horizontal="centerContinuous"/>
    </xf>
    <xf numFmtId="0" fontId="6" fillId="0" borderId="9" xfId="0" applyFont="1" applyBorder="1" applyAlignment="1">
      <alignment horizontal="center"/>
    </xf>
    <xf numFmtId="0" fontId="6" fillId="0" borderId="9" xfId="0" applyFont="1" applyBorder="1" applyAlignment="1">
      <alignment horizontal="left" indent="1"/>
    </xf>
    <xf numFmtId="38" fontId="6" fillId="0" borderId="10" xfId="0" applyNumberFormat="1" applyFont="1" applyBorder="1"/>
    <xf numFmtId="0" fontId="6" fillId="0" borderId="0" xfId="0" applyFont="1" applyAlignment="1">
      <alignment horizontal="left"/>
    </xf>
    <xf numFmtId="0" fontId="6" fillId="0" borderId="10" xfId="0" applyFont="1" applyBorder="1" applyAlignment="1">
      <alignment horizontal="center"/>
    </xf>
    <xf numFmtId="10" fontId="6" fillId="0" borderId="0" xfId="0" applyNumberFormat="1" applyFont="1" applyAlignment="1">
      <alignment horizontal="center"/>
    </xf>
    <xf numFmtId="10" fontId="6" fillId="0" borderId="9" xfId="0" applyNumberFormat="1" applyFont="1" applyBorder="1"/>
    <xf numFmtId="10" fontId="6" fillId="0" borderId="76" xfId="0" applyNumberFormat="1" applyFont="1" applyBorder="1" applyAlignment="1">
      <alignment horizontal="left"/>
    </xf>
    <xf numFmtId="0" fontId="6" fillId="0" borderId="102" xfId="0" applyFont="1" applyBorder="1"/>
    <xf numFmtId="40" fontId="6" fillId="0" borderId="0" xfId="24" applyFont="1"/>
    <xf numFmtId="40" fontId="6" fillId="0" borderId="0" xfId="24" applyFont="1" applyAlignment="1">
      <alignment horizontal="center"/>
    </xf>
    <xf numFmtId="10" fontId="6" fillId="17" borderId="0" xfId="0" applyNumberFormat="1" applyFont="1" applyFill="1"/>
    <xf numFmtId="0" fontId="6" fillId="13" borderId="5" xfId="0" applyFont="1" applyFill="1" applyBorder="1"/>
    <xf numFmtId="38" fontId="6" fillId="0" borderId="9" xfId="0" applyNumberFormat="1" applyFont="1" applyBorder="1"/>
    <xf numFmtId="0" fontId="6" fillId="0" borderId="1" xfId="0" applyFont="1" applyBorder="1"/>
    <xf numFmtId="10" fontId="6" fillId="0" borderId="10" xfId="0" applyNumberFormat="1" applyFont="1" applyBorder="1" applyAlignment="1">
      <alignment horizontal="left"/>
    </xf>
    <xf numFmtId="40" fontId="6" fillId="0" borderId="0" xfId="24" applyFont="1" applyAlignment="1"/>
    <xf numFmtId="10" fontId="6" fillId="0" borderId="20" xfId="0" applyNumberFormat="1" applyFont="1" applyBorder="1" applyAlignment="1">
      <alignment horizontal="left"/>
    </xf>
    <xf numFmtId="0" fontId="6" fillId="0" borderId="103" xfId="0" applyFont="1" applyBorder="1"/>
    <xf numFmtId="10" fontId="6" fillId="0" borderId="0" xfId="0" applyNumberFormat="1" applyFont="1" applyAlignment="1">
      <alignment horizontal="left"/>
    </xf>
    <xf numFmtId="0" fontId="23" fillId="0" borderId="0" xfId="0" applyFont="1"/>
    <xf numFmtId="40" fontId="23" fillId="0" borderId="0" xfId="24" applyFont="1" applyAlignment="1">
      <alignment horizontal="center"/>
    </xf>
    <xf numFmtId="0" fontId="6" fillId="0" borderId="22" xfId="0" applyFont="1" applyBorder="1"/>
    <xf numFmtId="38" fontId="6" fillId="0" borderId="20" xfId="0" applyNumberFormat="1" applyFont="1" applyBorder="1"/>
    <xf numFmtId="0" fontId="25" fillId="0" borderId="63" xfId="0" applyFont="1" applyBorder="1" applyAlignment="1">
      <alignment horizontal="center"/>
    </xf>
    <xf numFmtId="0" fontId="25" fillId="0" borderId="11" xfId="0" applyFont="1" applyBorder="1"/>
    <xf numFmtId="10" fontId="6" fillId="0" borderId="0" xfId="0" applyNumberFormat="1" applyFont="1" applyAlignment="1">
      <alignment horizontal="centerContinuous"/>
    </xf>
    <xf numFmtId="38" fontId="6" fillId="0" borderId="11" xfId="0" applyNumberFormat="1" applyFont="1" applyBorder="1"/>
    <xf numFmtId="10" fontId="6" fillId="0" borderId="27" xfId="0" applyNumberFormat="1" applyFont="1" applyBorder="1"/>
    <xf numFmtId="38" fontId="25" fillId="0" borderId="11" xfId="0" applyNumberFormat="1" applyFont="1" applyBorder="1" applyAlignment="1">
      <alignment horizontal="center"/>
    </xf>
    <xf numFmtId="38" fontId="25" fillId="0" borderId="11" xfId="0" applyNumberFormat="1" applyFont="1" applyBorder="1"/>
    <xf numFmtId="0" fontId="6" fillId="15" borderId="5" xfId="0" applyFont="1" applyFill="1" applyBorder="1" applyAlignment="1">
      <alignment horizontal="center"/>
    </xf>
    <xf numFmtId="0" fontId="6" fillId="0" borderId="11" xfId="0" applyFont="1" applyBorder="1"/>
    <xf numFmtId="38" fontId="6" fillId="0" borderId="66" xfId="0" applyNumberFormat="1" applyFont="1" applyBorder="1"/>
    <xf numFmtId="38" fontId="6" fillId="0" borderId="27" xfId="0" applyNumberFormat="1" applyFont="1" applyBorder="1"/>
    <xf numFmtId="38" fontId="6" fillId="0" borderId="96" xfId="0" applyNumberFormat="1" applyFont="1" applyBorder="1"/>
    <xf numFmtId="38" fontId="6" fillId="0" borderId="84" xfId="0" applyNumberFormat="1" applyFont="1" applyBorder="1"/>
    <xf numFmtId="10" fontId="6" fillId="0" borderId="84" xfId="23" applyNumberFormat="1" applyFont="1" applyBorder="1"/>
    <xf numFmtId="3" fontId="6" fillId="16" borderId="0" xfId="0" applyNumberFormat="1" applyFont="1" applyFill="1"/>
    <xf numFmtId="0" fontId="6" fillId="0" borderId="84" xfId="0" applyFont="1" applyBorder="1"/>
    <xf numFmtId="38" fontId="6" fillId="0" borderId="105" xfId="0" applyNumberFormat="1" applyFont="1" applyBorder="1"/>
    <xf numFmtId="38" fontId="6" fillId="0" borderId="106" xfId="0" applyNumberFormat="1" applyFont="1" applyBorder="1"/>
    <xf numFmtId="3" fontId="6" fillId="0" borderId="91" xfId="0" applyNumberFormat="1" applyFont="1" applyBorder="1"/>
    <xf numFmtId="0" fontId="6" fillId="0" borderId="99" xfId="0" applyFont="1" applyBorder="1" applyAlignment="1">
      <alignment horizontal="center"/>
    </xf>
    <xf numFmtId="0" fontId="6" fillId="0" borderId="98" xfId="0" applyFont="1" applyBorder="1" applyAlignment="1">
      <alignment horizontal="centerContinuous"/>
    </xf>
    <xf numFmtId="0" fontId="6" fillId="0" borderId="107" xfId="0" applyFont="1" applyBorder="1" applyAlignment="1">
      <alignment horizontal="centerContinuous"/>
    </xf>
    <xf numFmtId="3" fontId="6" fillId="0" borderId="77" xfId="0" applyNumberFormat="1" applyFont="1" applyBorder="1" applyAlignment="1">
      <alignment horizontal="centerContinuous"/>
    </xf>
    <xf numFmtId="0" fontId="6" fillId="0" borderId="68" xfId="0" applyFont="1" applyBorder="1" applyAlignment="1">
      <alignment horizontal="centerContinuous"/>
    </xf>
    <xf numFmtId="0" fontId="6" fillId="0" borderId="78" xfId="0" applyFont="1" applyBorder="1" applyAlignment="1">
      <alignment horizontal="centerContinuous"/>
    </xf>
    <xf numFmtId="38" fontId="6" fillId="15" borderId="104" xfId="0" applyNumberFormat="1" applyFont="1" applyFill="1" applyBorder="1"/>
    <xf numFmtId="38" fontId="6" fillId="0" borderId="104" xfId="0" applyNumberFormat="1" applyFont="1" applyBorder="1"/>
    <xf numFmtId="38" fontId="10" fillId="18" borderId="28" xfId="0" applyNumberFormat="1" applyFont="1" applyFill="1" applyBorder="1" applyAlignment="1">
      <alignment horizontal="center"/>
    </xf>
    <xf numFmtId="38" fontId="6" fillId="0" borderId="38" xfId="0" applyNumberFormat="1" applyFont="1" applyBorder="1" applyAlignment="1">
      <alignment horizontal="centerContinuous"/>
    </xf>
    <xf numFmtId="0" fontId="6" fillId="0" borderId="39" xfId="0" applyFont="1" applyBorder="1" applyAlignment="1">
      <alignment horizontal="centerContinuous"/>
    </xf>
    <xf numFmtId="38" fontId="6" fillId="0" borderId="39" xfId="0" applyNumberFormat="1" applyFont="1" applyBorder="1" applyAlignment="1">
      <alignment horizontal="centerContinuous"/>
    </xf>
    <xf numFmtId="38" fontId="6" fillId="0" borderId="40" xfId="0" applyNumberFormat="1" applyFont="1" applyBorder="1" applyAlignment="1">
      <alignment horizontal="centerContinuous"/>
    </xf>
    <xf numFmtId="38" fontId="6" fillId="14" borderId="5" xfId="1" applyNumberFormat="1" applyFont="1" applyFill="1" applyBorder="1" applyAlignment="1">
      <alignment horizontal="right"/>
    </xf>
    <xf numFmtId="38" fontId="6" fillId="0" borderId="5" xfId="1" applyNumberFormat="1" applyFont="1" applyBorder="1" applyAlignment="1">
      <alignment horizontal="right"/>
    </xf>
    <xf numFmtId="38" fontId="6" fillId="0" borderId="0" xfId="1" applyNumberFormat="1" applyFont="1" applyAlignment="1">
      <alignment horizontal="right"/>
    </xf>
    <xf numFmtId="0" fontId="4" fillId="0" borderId="0" xfId="18"/>
    <xf numFmtId="38" fontId="6" fillId="15" borderId="0" xfId="0" applyNumberFormat="1" applyFont="1" applyFill="1"/>
    <xf numFmtId="38" fontId="6" fillId="0" borderId="24" xfId="0" applyNumberFormat="1" applyFont="1" applyBorder="1"/>
    <xf numFmtId="0" fontId="6" fillId="3" borderId="0" xfId="16" applyFont="1" applyFill="1"/>
    <xf numFmtId="10" fontId="6" fillId="3" borderId="0" xfId="16" applyNumberFormat="1" applyFont="1" applyFill="1"/>
    <xf numFmtId="9" fontId="6" fillId="3" borderId="0" xfId="8" applyFont="1" applyFill="1" applyProtection="1"/>
    <xf numFmtId="38" fontId="6" fillId="3" borderId="0" xfId="19" applyNumberFormat="1" applyFont="1" applyFill="1" applyProtection="1"/>
    <xf numFmtId="38" fontId="6" fillId="3" borderId="0" xfId="19" applyNumberFormat="1" applyFont="1" applyFill="1" applyBorder="1" applyProtection="1"/>
    <xf numFmtId="6" fontId="6" fillId="3" borderId="0" xfId="17" applyNumberFormat="1" applyFont="1" applyFill="1" applyProtection="1"/>
    <xf numFmtId="37" fontId="6" fillId="3" borderId="76" xfId="9" applyNumberFormat="1" applyFont="1" applyFill="1" applyBorder="1"/>
    <xf numFmtId="9" fontId="6" fillId="3" borderId="5" xfId="9" applyNumberFormat="1" applyFont="1" applyFill="1" applyBorder="1"/>
    <xf numFmtId="3" fontId="6" fillId="3" borderId="20" xfId="10" applyNumberFormat="1" applyFont="1" applyFill="1" applyBorder="1" applyProtection="1"/>
    <xf numFmtId="3" fontId="10" fillId="3" borderId="72" xfId="9" applyNumberFormat="1" applyFont="1" applyFill="1" applyBorder="1" applyAlignment="1">
      <alignment horizontal="right"/>
    </xf>
    <xf numFmtId="9" fontId="6" fillId="3" borderId="5" xfId="7" applyFont="1" applyFill="1" applyBorder="1" applyProtection="1"/>
    <xf numFmtId="0" fontId="45" fillId="2" borderId="0" xfId="0" applyFont="1" applyFill="1" applyAlignment="1">
      <alignment horizontal="right"/>
    </xf>
    <xf numFmtId="0" fontId="43" fillId="19" borderId="0" xfId="0" applyFont="1" applyFill="1"/>
    <xf numFmtId="0" fontId="56" fillId="19" borderId="66" xfId="0" applyFont="1" applyFill="1" applyBorder="1" applyAlignment="1">
      <alignment horizontal="center" vertical="center" wrapText="1"/>
    </xf>
    <xf numFmtId="180" fontId="81" fillId="20" borderId="66" xfId="2" applyNumberFormat="1" applyFont="1" applyFill="1" applyBorder="1"/>
    <xf numFmtId="0" fontId="43" fillId="19" borderId="66" xfId="0" applyFont="1" applyFill="1" applyBorder="1"/>
    <xf numFmtId="180" fontId="43" fillId="19" borderId="66" xfId="0" applyNumberFormat="1" applyFont="1" applyFill="1" applyBorder="1"/>
    <xf numFmtId="0" fontId="53" fillId="19" borderId="0" xfId="0" applyFont="1" applyFill="1"/>
    <xf numFmtId="9" fontId="43" fillId="19" borderId="66" xfId="0" applyNumberFormat="1" applyFont="1" applyFill="1" applyBorder="1" applyAlignment="1">
      <alignment horizontal="center"/>
    </xf>
    <xf numFmtId="176" fontId="42" fillId="3" borderId="0" xfId="9" applyNumberFormat="1" applyFont="1" applyFill="1" applyAlignment="1">
      <alignment horizontal="center"/>
    </xf>
    <xf numFmtId="176" fontId="42" fillId="3" borderId="0" xfId="9" applyNumberFormat="1" applyFont="1" applyFill="1" applyAlignment="1">
      <alignment horizontal="center" vertical="center"/>
    </xf>
    <xf numFmtId="0" fontId="42" fillId="3" borderId="5" xfId="9" applyFont="1" applyFill="1" applyBorder="1"/>
    <xf numFmtId="0" fontId="42" fillId="3" borderId="0" xfId="9" applyFont="1" applyFill="1"/>
    <xf numFmtId="0" fontId="42" fillId="3" borderId="22" xfId="9" applyFont="1" applyFill="1" applyBorder="1"/>
    <xf numFmtId="0" fontId="42" fillId="3" borderId="5" xfId="9" applyFont="1" applyFill="1" applyBorder="1" applyAlignment="1">
      <alignment horizontal="center"/>
    </xf>
    <xf numFmtId="37" fontId="42" fillId="3" borderId="5" xfId="9" applyNumberFormat="1" applyFont="1" applyFill="1" applyBorder="1" applyAlignment="1">
      <alignment horizontal="center"/>
    </xf>
    <xf numFmtId="5" fontId="42" fillId="3" borderId="27" xfId="9" applyNumberFormat="1" applyFont="1" applyFill="1" applyBorder="1" applyAlignment="1">
      <alignment horizontal="center"/>
    </xf>
    <xf numFmtId="0" fontId="42" fillId="3" borderId="75" xfId="9" applyFont="1" applyFill="1" applyBorder="1" applyAlignment="1">
      <alignment horizontal="left" indent="1"/>
    </xf>
    <xf numFmtId="0" fontId="42" fillId="3" borderId="72" xfId="9" applyFont="1" applyFill="1" applyBorder="1"/>
    <xf numFmtId="0" fontId="42" fillId="3" borderId="72" xfId="9" applyFont="1" applyFill="1" applyBorder="1" applyAlignment="1">
      <alignment horizontal="center"/>
    </xf>
    <xf numFmtId="37" fontId="42" fillId="3" borderId="72" xfId="9" applyNumberFormat="1" applyFont="1" applyFill="1" applyBorder="1" applyAlignment="1">
      <alignment horizontal="center"/>
    </xf>
    <xf numFmtId="5" fontId="42" fillId="3" borderId="63" xfId="9" applyNumberFormat="1" applyFont="1" applyFill="1" applyBorder="1" applyAlignment="1">
      <alignment horizontal="center"/>
    </xf>
    <xf numFmtId="0" fontId="6" fillId="3" borderId="108" xfId="9" applyFont="1" applyFill="1" applyBorder="1"/>
    <xf numFmtId="0" fontId="6" fillId="3" borderId="109" xfId="9" applyFont="1" applyFill="1" applyBorder="1"/>
    <xf numFmtId="0" fontId="6" fillId="3" borderId="109" xfId="9" applyFont="1" applyFill="1" applyBorder="1" applyAlignment="1">
      <alignment horizontal="center"/>
    </xf>
    <xf numFmtId="0" fontId="6" fillId="3" borderId="110" xfId="9" applyFont="1" applyFill="1" applyBorder="1"/>
    <xf numFmtId="176" fontId="42" fillId="3" borderId="11" xfId="9" applyNumberFormat="1" applyFont="1" applyFill="1" applyBorder="1" applyAlignment="1">
      <alignment horizontal="center"/>
    </xf>
    <xf numFmtId="37" fontId="42" fillId="3" borderId="63" xfId="9" applyNumberFormat="1" applyFont="1" applyFill="1" applyBorder="1" applyAlignment="1">
      <alignment horizontal="center"/>
    </xf>
    <xf numFmtId="37" fontId="42" fillId="3" borderId="27" xfId="9" applyNumberFormat="1" applyFont="1" applyFill="1" applyBorder="1" applyAlignment="1">
      <alignment horizontal="center"/>
    </xf>
    <xf numFmtId="0" fontId="43" fillId="19" borderId="0" xfId="0" applyFont="1" applyFill="1" applyAlignment="1">
      <alignment horizontal="center" wrapText="1"/>
    </xf>
    <xf numFmtId="9" fontId="42" fillId="3" borderId="0" xfId="7" applyFont="1" applyFill="1" applyBorder="1" applyAlignment="1" applyProtection="1">
      <alignment horizontal="center" vertical="center"/>
    </xf>
    <xf numFmtId="0" fontId="81" fillId="3" borderId="66" xfId="0" applyFont="1" applyFill="1" applyBorder="1" applyProtection="1">
      <protection locked="0"/>
    </xf>
    <xf numFmtId="176" fontId="81" fillId="3" borderId="66" xfId="1" applyNumberFormat="1" applyFont="1" applyFill="1" applyBorder="1" applyProtection="1">
      <protection locked="0"/>
    </xf>
    <xf numFmtId="0" fontId="43" fillId="3" borderId="66" xfId="0" applyFont="1" applyFill="1" applyBorder="1" applyProtection="1">
      <protection locked="0"/>
    </xf>
    <xf numFmtId="43" fontId="43" fillId="19" borderId="0" xfId="0" applyNumberFormat="1" applyFont="1" applyFill="1"/>
    <xf numFmtId="0" fontId="81" fillId="3" borderId="66" xfId="0" applyFont="1" applyFill="1" applyBorder="1"/>
    <xf numFmtId="176" fontId="6" fillId="3" borderId="0" xfId="9" applyNumberFormat="1" applyFont="1" applyFill="1"/>
    <xf numFmtId="0" fontId="48" fillId="3" borderId="0" xfId="9" applyFont="1" applyFill="1"/>
    <xf numFmtId="3" fontId="51" fillId="3" borderId="0" xfId="9" applyNumberFormat="1" applyFont="1" applyFill="1"/>
    <xf numFmtId="0" fontId="84" fillId="3" borderId="0" xfId="0" applyFont="1" applyFill="1"/>
    <xf numFmtId="0" fontId="81" fillId="19" borderId="66" xfId="0" applyFont="1" applyFill="1" applyBorder="1" applyProtection="1">
      <protection locked="0"/>
    </xf>
    <xf numFmtId="0" fontId="43" fillId="19" borderId="111" xfId="0" applyFont="1" applyFill="1" applyBorder="1"/>
    <xf numFmtId="0" fontId="81" fillId="3" borderId="9" xfId="0" applyFont="1" applyFill="1" applyBorder="1"/>
    <xf numFmtId="0" fontId="81" fillId="3" borderId="0" xfId="0" applyFont="1" applyFill="1"/>
    <xf numFmtId="0" fontId="81" fillId="3" borderId="10" xfId="0" applyFont="1" applyFill="1" applyBorder="1"/>
    <xf numFmtId="0" fontId="43" fillId="19" borderId="22" xfId="0" applyFont="1" applyFill="1" applyBorder="1"/>
    <xf numFmtId="0" fontId="43" fillId="19" borderId="5" xfId="0" applyFont="1" applyFill="1" applyBorder="1"/>
    <xf numFmtId="0" fontId="43" fillId="19" borderId="20" xfId="0" applyFont="1" applyFill="1" applyBorder="1"/>
    <xf numFmtId="0" fontId="86" fillId="19" borderId="9" xfId="3" applyFont="1" applyFill="1" applyBorder="1" applyAlignment="1" applyProtection="1"/>
    <xf numFmtId="0" fontId="41" fillId="19" borderId="0" xfId="0" applyFont="1" applyFill="1"/>
    <xf numFmtId="0" fontId="41" fillId="19" borderId="10" xfId="0" applyFont="1" applyFill="1" applyBorder="1"/>
    <xf numFmtId="38" fontId="6" fillId="3" borderId="109" xfId="9" applyNumberFormat="1" applyFont="1" applyFill="1" applyBorder="1"/>
    <xf numFmtId="38" fontId="6" fillId="3" borderId="110" xfId="9" applyNumberFormat="1" applyFont="1" applyFill="1" applyBorder="1"/>
    <xf numFmtId="38" fontId="6" fillId="11" borderId="0" xfId="1" applyNumberFormat="1" applyFont="1" applyFill="1" applyBorder="1" applyProtection="1"/>
    <xf numFmtId="38" fontId="6" fillId="3" borderId="109" xfId="10" applyNumberFormat="1" applyFont="1" applyFill="1" applyBorder="1" applyProtection="1"/>
    <xf numFmtId="38" fontId="6" fillId="3" borderId="110" xfId="10" applyNumberFormat="1" applyFont="1" applyFill="1" applyBorder="1" applyProtection="1"/>
    <xf numFmtId="40" fontId="6" fillId="3" borderId="0" xfId="1" applyFont="1" applyFill="1" applyProtection="1"/>
    <xf numFmtId="10" fontId="6" fillId="3" borderId="0" xfId="7" applyNumberFormat="1" applyFont="1" applyFill="1" applyProtection="1"/>
    <xf numFmtId="40" fontId="43" fillId="3" borderId="66" xfId="1" applyFont="1" applyFill="1" applyBorder="1" applyProtection="1">
      <protection locked="0"/>
    </xf>
    <xf numFmtId="0" fontId="6" fillId="3" borderId="27" xfId="18" applyFont="1" applyFill="1" applyBorder="1" applyProtection="1">
      <protection locked="0"/>
    </xf>
    <xf numFmtId="8" fontId="12" fillId="2" borderId="27" xfId="2" applyFont="1" applyFill="1" applyBorder="1" applyAlignment="1" applyProtection="1">
      <alignment horizontal="right"/>
    </xf>
    <xf numFmtId="38" fontId="12" fillId="2" borderId="27" xfId="1" applyNumberFormat="1" applyFont="1" applyFill="1" applyBorder="1" applyAlignment="1" applyProtection="1">
      <alignment horizontal="right"/>
    </xf>
    <xf numFmtId="0" fontId="6" fillId="3" borderId="117" xfId="18" applyFont="1" applyFill="1" applyBorder="1" applyProtection="1">
      <protection locked="0"/>
    </xf>
    <xf numFmtId="38" fontId="12" fillId="2" borderId="117" xfId="1" applyNumberFormat="1" applyFont="1" applyFill="1" applyBorder="1" applyAlignment="1" applyProtection="1"/>
    <xf numFmtId="38" fontId="12" fillId="2" borderId="117" xfId="1" applyNumberFormat="1" applyFont="1" applyFill="1" applyBorder="1" applyAlignment="1" applyProtection="1">
      <alignment horizontal="right"/>
    </xf>
    <xf numFmtId="3" fontId="0" fillId="0" borderId="0" xfId="0" applyNumberFormat="1"/>
    <xf numFmtId="0" fontId="0" fillId="11" borderId="0" xfId="0" applyFill="1"/>
    <xf numFmtId="0" fontId="0" fillId="21" borderId="0" xfId="0" applyFill="1"/>
    <xf numFmtId="0" fontId="0" fillId="0" borderId="0" xfId="0" applyAlignment="1">
      <alignment horizontal="center"/>
    </xf>
    <xf numFmtId="49" fontId="0" fillId="0" borderId="0" xfId="0" applyNumberFormat="1"/>
    <xf numFmtId="0" fontId="0" fillId="0" borderId="5" xfId="0" applyBorder="1"/>
    <xf numFmtId="0" fontId="0" fillId="22" borderId="0" xfId="0" applyFill="1"/>
    <xf numFmtId="0" fontId="0" fillId="23" borderId="0" xfId="0" applyFill="1"/>
    <xf numFmtId="0" fontId="0" fillId="24" borderId="0" xfId="0" applyFill="1"/>
    <xf numFmtId="0" fontId="0" fillId="25" borderId="0" xfId="0" applyFill="1"/>
    <xf numFmtId="0" fontId="33" fillId="2" borderId="0" xfId="6" applyFont="1" applyFill="1" applyAlignment="1">
      <alignment vertical="top"/>
    </xf>
    <xf numFmtId="0" fontId="33" fillId="2" borderId="0" xfId="6" applyFont="1" applyFill="1"/>
    <xf numFmtId="49" fontId="0" fillId="23" borderId="0" xfId="0" applyNumberFormat="1" applyFill="1"/>
    <xf numFmtId="49" fontId="0" fillId="25" borderId="0" xfId="0" applyNumberFormat="1" applyFill="1"/>
    <xf numFmtId="49" fontId="0" fillId="24" borderId="0" xfId="0" applyNumberFormat="1" applyFill="1"/>
    <xf numFmtId="49" fontId="0" fillId="22" borderId="0" xfId="0" applyNumberFormat="1" applyFill="1"/>
    <xf numFmtId="164" fontId="6" fillId="2" borderId="93" xfId="0" applyNumberFormat="1" applyFont="1" applyFill="1" applyBorder="1"/>
    <xf numFmtId="0" fontId="10" fillId="2" borderId="0" xfId="0" applyFont="1" applyFill="1"/>
    <xf numFmtId="0" fontId="88" fillId="3" borderId="0" xfId="0" applyFont="1" applyFill="1"/>
    <xf numFmtId="0" fontId="5" fillId="0" borderId="0" xfId="0" applyFont="1"/>
    <xf numFmtId="38" fontId="0" fillId="0" borderId="0" xfId="0" applyNumberFormat="1"/>
    <xf numFmtId="6" fontId="0" fillId="0" borderId="0" xfId="0" applyNumberFormat="1"/>
    <xf numFmtId="0" fontId="52" fillId="0" borderId="0" xfId="0" applyFont="1"/>
    <xf numFmtId="14" fontId="0" fillId="0" borderId="0" xfId="0" applyNumberFormat="1"/>
    <xf numFmtId="0" fontId="89" fillId="0" borderId="0" xfId="0" applyFont="1"/>
    <xf numFmtId="0" fontId="90" fillId="0" borderId="0" xfId="0" applyFont="1"/>
    <xf numFmtId="180" fontId="90" fillId="0" borderId="0" xfId="2" applyNumberFormat="1" applyFont="1"/>
    <xf numFmtId="0" fontId="91" fillId="0" borderId="0" xfId="0" applyFont="1"/>
    <xf numFmtId="0" fontId="92" fillId="0" borderId="0" xfId="0" applyFont="1"/>
    <xf numFmtId="0" fontId="93" fillId="0" borderId="0" xfId="0" applyFont="1"/>
    <xf numFmtId="0" fontId="94" fillId="21" borderId="0" xfId="0" applyFont="1" applyFill="1"/>
    <xf numFmtId="0" fontId="94" fillId="26" borderId="0" xfId="0" applyFont="1" applyFill="1"/>
    <xf numFmtId="0" fontId="94" fillId="27" borderId="0" xfId="0" applyFont="1" applyFill="1"/>
    <xf numFmtId="0" fontId="94" fillId="0" borderId="0" xfId="0" applyFont="1"/>
    <xf numFmtId="3" fontId="52" fillId="0" borderId="0" xfId="0" applyNumberFormat="1" applyFont="1"/>
    <xf numFmtId="0" fontId="0" fillId="28" borderId="0" xfId="0" applyFill="1"/>
    <xf numFmtId="3" fontId="0" fillId="28" borderId="0" xfId="0" applyNumberFormat="1" applyFill="1"/>
    <xf numFmtId="3" fontId="96" fillId="0" borderId="122" xfId="0" applyNumberFormat="1" applyFont="1" applyBorder="1"/>
    <xf numFmtId="0" fontId="96" fillId="28" borderId="122" xfId="0" applyFont="1" applyFill="1" applyBorder="1"/>
    <xf numFmtId="3" fontId="96" fillId="28" borderId="122" xfId="0" applyNumberFormat="1" applyFont="1" applyFill="1" applyBorder="1"/>
    <xf numFmtId="0" fontId="0" fillId="0" borderId="0" xfId="0" applyAlignment="1">
      <alignment horizontal="left" indent="1"/>
    </xf>
    <xf numFmtId="0" fontId="52" fillId="0" borderId="0" xfId="0" applyFont="1" applyAlignment="1">
      <alignment horizontal="left" indent="2"/>
    </xf>
    <xf numFmtId="0" fontId="0" fillId="29" borderId="0" xfId="0" applyFill="1"/>
    <xf numFmtId="0" fontId="52" fillId="29" borderId="0" xfId="0" applyFont="1" applyFill="1"/>
    <xf numFmtId="0" fontId="92" fillId="0" borderId="0" xfId="0" applyFont="1" applyAlignment="1">
      <alignment horizontal="left"/>
    </xf>
    <xf numFmtId="0" fontId="4" fillId="0" borderId="0" xfId="0" applyFont="1"/>
    <xf numFmtId="0" fontId="5" fillId="29" borderId="0" xfId="0" applyFont="1" applyFill="1"/>
    <xf numFmtId="0" fontId="4" fillId="0" borderId="0" xfId="0" applyFont="1" applyAlignment="1">
      <alignment horizontal="left" indent="1"/>
    </xf>
    <xf numFmtId="0" fontId="5" fillId="0" borderId="0" xfId="0" applyFont="1" applyAlignment="1">
      <alignment horizontal="left" indent="1"/>
    </xf>
    <xf numFmtId="0" fontId="4" fillId="29" borderId="0" xfId="0" applyFont="1" applyFill="1"/>
    <xf numFmtId="0" fontId="90" fillId="0" borderId="0" xfId="0" applyFont="1" applyAlignment="1">
      <alignment horizontal="center"/>
    </xf>
    <xf numFmtId="0" fontId="52" fillId="28" borderId="0" xfId="0" applyFont="1" applyFill="1"/>
    <xf numFmtId="0" fontId="97" fillId="28" borderId="122" xfId="0" applyFont="1" applyFill="1" applyBorder="1"/>
    <xf numFmtId="180" fontId="17" fillId="0" borderId="0" xfId="3" applyNumberFormat="1" applyAlignment="1" applyProtection="1"/>
    <xf numFmtId="0" fontId="17" fillId="0" borderId="0" xfId="3" applyAlignment="1" applyProtection="1"/>
    <xf numFmtId="49" fontId="81" fillId="3" borderId="66" xfId="0" applyNumberFormat="1" applyFont="1" applyFill="1" applyBorder="1" applyProtection="1">
      <protection locked="0"/>
    </xf>
    <xf numFmtId="49" fontId="0" fillId="0" borderId="0" xfId="7" applyNumberFormat="1" applyFont="1"/>
    <xf numFmtId="0" fontId="96" fillId="0" borderId="122" xfId="0" applyFont="1" applyBorder="1"/>
    <xf numFmtId="0" fontId="98" fillId="30" borderId="121" xfId="0" applyFont="1" applyFill="1" applyBorder="1" applyAlignment="1">
      <alignment horizontal="center"/>
    </xf>
    <xf numFmtId="3" fontId="99" fillId="0" borderId="121" xfId="5" applyNumberFormat="1" applyFont="1" applyBorder="1"/>
    <xf numFmtId="0" fontId="97" fillId="0" borderId="122" xfId="0" applyFont="1" applyBorder="1"/>
    <xf numFmtId="3" fontId="95" fillId="0" borderId="121" xfId="5" applyNumberFormat="1" applyFont="1" applyBorder="1"/>
    <xf numFmtId="0" fontId="95" fillId="0" borderId="121" xfId="5" applyFont="1" applyBorder="1"/>
    <xf numFmtId="0" fontId="99" fillId="0" borderId="121" xfId="5" applyFont="1" applyBorder="1"/>
    <xf numFmtId="0" fontId="99" fillId="0" borderId="123" xfId="5" applyFont="1" applyBorder="1"/>
    <xf numFmtId="0" fontId="98" fillId="30" borderId="0" xfId="0" applyFont="1" applyFill="1" applyAlignment="1">
      <alignment horizontal="center"/>
    </xf>
    <xf numFmtId="0" fontId="95" fillId="11" borderId="122" xfId="5" applyFont="1" applyFill="1" applyBorder="1"/>
    <xf numFmtId="0" fontId="95" fillId="28" borderId="122" xfId="5" applyFont="1" applyFill="1" applyBorder="1"/>
    <xf numFmtId="0" fontId="96" fillId="0" borderId="0" xfId="0" applyFont="1"/>
    <xf numFmtId="0" fontId="100" fillId="19" borderId="0" xfId="0" applyFont="1" applyFill="1"/>
    <xf numFmtId="0" fontId="42" fillId="2" borderId="0" xfId="0" applyFont="1" applyFill="1" applyAlignment="1">
      <alignment horizontal="centerContinuous" wrapText="1"/>
    </xf>
    <xf numFmtId="0" fontId="42" fillId="2" borderId="0" xfId="0" applyFont="1" applyFill="1" applyAlignment="1">
      <alignment wrapText="1"/>
    </xf>
    <xf numFmtId="0" fontId="98" fillId="30" borderId="124" xfId="0" applyFont="1" applyFill="1" applyBorder="1" applyAlignment="1">
      <alignment horizontal="center"/>
    </xf>
    <xf numFmtId="0" fontId="96" fillId="29" borderId="0" xfId="0" applyFont="1" applyFill="1"/>
    <xf numFmtId="49" fontId="96" fillId="0" borderId="0" xfId="0" applyNumberFormat="1" applyFont="1"/>
    <xf numFmtId="0" fontId="0" fillId="29" borderId="0" xfId="0" applyFill="1" applyAlignment="1">
      <alignment horizontal="center"/>
    </xf>
    <xf numFmtId="40" fontId="0" fillId="0" borderId="0" xfId="1" applyFont="1" applyAlignment="1">
      <alignment horizontal="center"/>
    </xf>
    <xf numFmtId="40" fontId="0" fillId="0" borderId="0" xfId="1" applyFont="1"/>
    <xf numFmtId="40" fontId="52" fillId="0" borderId="0" xfId="1" applyFont="1"/>
    <xf numFmtId="0" fontId="0" fillId="26" borderId="0" xfId="0" applyFill="1"/>
    <xf numFmtId="0" fontId="0" fillId="27" borderId="0" xfId="0" applyFill="1"/>
    <xf numFmtId="38" fontId="0" fillId="0" borderId="0" xfId="1" applyNumberFormat="1" applyFont="1"/>
    <xf numFmtId="38" fontId="0" fillId="0" borderId="0" xfId="1" applyNumberFormat="1" applyFont="1" applyBorder="1"/>
    <xf numFmtId="38" fontId="0" fillId="0" borderId="5" xfId="1" applyNumberFormat="1" applyFont="1" applyBorder="1"/>
    <xf numFmtId="38" fontId="0" fillId="0" borderId="20" xfId="1" applyNumberFormat="1" applyFont="1" applyBorder="1"/>
    <xf numFmtId="38" fontId="0" fillId="23" borderId="0" xfId="1" applyNumberFormat="1" applyFont="1" applyFill="1" applyBorder="1"/>
    <xf numFmtId="38" fontId="0" fillId="25" borderId="0" xfId="1" applyNumberFormat="1" applyFont="1" applyFill="1" applyBorder="1"/>
    <xf numFmtId="38" fontId="0" fillId="24" borderId="0" xfId="1" applyNumberFormat="1" applyFont="1" applyFill="1" applyBorder="1"/>
    <xf numFmtId="38" fontId="0" fillId="22" borderId="0" xfId="1" applyNumberFormat="1" applyFont="1" applyFill="1" applyBorder="1"/>
    <xf numFmtId="38" fontId="0" fillId="23" borderId="0" xfId="1" applyNumberFormat="1" applyFont="1" applyFill="1"/>
    <xf numFmtId="38" fontId="0" fillId="25" borderId="0" xfId="1" applyNumberFormat="1" applyFont="1" applyFill="1"/>
    <xf numFmtId="38" fontId="0" fillId="24" borderId="0" xfId="1" applyNumberFormat="1" applyFont="1" applyFill="1"/>
    <xf numFmtId="38" fontId="0" fillId="0" borderId="0" xfId="1" applyNumberFormat="1" applyFont="1" applyFill="1" applyBorder="1"/>
    <xf numFmtId="0" fontId="0" fillId="23" borderId="0" xfId="0" applyFill="1" applyAlignment="1">
      <alignment horizontal="center"/>
    </xf>
    <xf numFmtId="0" fontId="0" fillId="25" borderId="0" xfId="0" applyFill="1" applyAlignment="1">
      <alignment horizontal="center"/>
    </xf>
    <xf numFmtId="0" fontId="0" fillId="24" borderId="0" xfId="0" applyFill="1" applyAlignment="1">
      <alignment horizontal="center"/>
    </xf>
    <xf numFmtId="0" fontId="0" fillId="22" borderId="0" xfId="0" applyFill="1" applyAlignment="1">
      <alignment horizontal="center"/>
    </xf>
    <xf numFmtId="0" fontId="0" fillId="0" borderId="0" xfId="0" applyAlignment="1">
      <alignment horizontal="center" wrapText="1"/>
    </xf>
    <xf numFmtId="0" fontId="52" fillId="0" borderId="22" xfId="0" applyFont="1" applyBorder="1" applyAlignment="1">
      <alignment horizontal="center"/>
    </xf>
    <xf numFmtId="0" fontId="52" fillId="0" borderId="0" xfId="0" applyFont="1" applyAlignment="1">
      <alignment horizontal="center"/>
    </xf>
    <xf numFmtId="0" fontId="0" fillId="31" borderId="0" xfId="0" applyFill="1"/>
    <xf numFmtId="38" fontId="0" fillId="31" borderId="0" xfId="1" applyNumberFormat="1" applyFont="1" applyFill="1"/>
    <xf numFmtId="0" fontId="0" fillId="31" borderId="0" xfId="0" applyFill="1" applyAlignment="1">
      <alignment horizontal="center"/>
    </xf>
    <xf numFmtId="49" fontId="0" fillId="31" borderId="0" xfId="0" applyNumberFormat="1" applyFill="1"/>
    <xf numFmtId="38" fontId="0" fillId="31" borderId="0" xfId="1" applyNumberFormat="1" applyFont="1" applyFill="1" applyBorder="1"/>
    <xf numFmtId="0" fontId="84" fillId="22" borderId="0" xfId="0" applyFont="1" applyFill="1"/>
    <xf numFmtId="49" fontId="0" fillId="0" borderId="0" xfId="7" applyNumberFormat="1" applyFont="1" applyBorder="1"/>
    <xf numFmtId="49" fontId="0" fillId="0" borderId="5" xfId="7" applyNumberFormat="1" applyFont="1" applyBorder="1"/>
    <xf numFmtId="0" fontId="78" fillId="0" borderId="0" xfId="0" applyFont="1"/>
    <xf numFmtId="38" fontId="12" fillId="0" borderId="27" xfId="1" applyNumberFormat="1" applyFont="1" applyFill="1" applyBorder="1" applyAlignment="1" applyProtection="1"/>
    <xf numFmtId="0" fontId="0" fillId="0" borderId="0" xfId="7" applyNumberFormat="1" applyFont="1"/>
    <xf numFmtId="10" fontId="4" fillId="2" borderId="0" xfId="5" applyNumberFormat="1" applyFont="1" applyFill="1"/>
    <xf numFmtId="0" fontId="6" fillId="3" borderId="9" xfId="9" applyFont="1" applyFill="1" applyBorder="1" applyAlignment="1">
      <alignment horizontal="left" indent="2"/>
    </xf>
    <xf numFmtId="0" fontId="6" fillId="3" borderId="0" xfId="9" applyFont="1" applyFill="1" applyAlignment="1">
      <alignment horizontal="left" indent="2"/>
    </xf>
    <xf numFmtId="37" fontId="6" fillId="3" borderId="94" xfId="9" applyNumberFormat="1" applyFont="1" applyFill="1" applyBorder="1"/>
    <xf numFmtId="1" fontId="6" fillId="3" borderId="5" xfId="9" applyNumberFormat="1" applyFont="1" applyFill="1" applyBorder="1"/>
    <xf numFmtId="3" fontId="6" fillId="3" borderId="9" xfId="9" applyNumberFormat="1" applyFont="1" applyFill="1" applyBorder="1" applyAlignment="1">
      <alignment horizontal="left" indent="2"/>
    </xf>
    <xf numFmtId="3" fontId="10" fillId="3" borderId="0" xfId="9" applyNumberFormat="1" applyFont="1" applyFill="1" applyAlignment="1">
      <alignment horizontal="left" indent="2"/>
    </xf>
    <xf numFmtId="3" fontId="10" fillId="3" borderId="9" xfId="9" applyNumberFormat="1" applyFont="1" applyFill="1" applyBorder="1" applyAlignment="1">
      <alignment horizontal="left" indent="4"/>
    </xf>
    <xf numFmtId="0" fontId="6" fillId="3" borderId="20" xfId="9" applyFont="1" applyFill="1" applyBorder="1" applyAlignment="1">
      <alignment horizontal="center"/>
    </xf>
    <xf numFmtId="0" fontId="83" fillId="3" borderId="9" xfId="0" applyFont="1" applyFill="1" applyBorder="1" applyAlignment="1">
      <alignment horizontal="center" vertical="center"/>
    </xf>
    <xf numFmtId="5" fontId="6" fillId="3" borderId="9" xfId="9" applyNumberFormat="1" applyFont="1" applyFill="1" applyBorder="1" applyAlignment="1">
      <alignment horizontal="centerContinuous"/>
    </xf>
    <xf numFmtId="5" fontId="6" fillId="3" borderId="0" xfId="9" applyNumberFormat="1" applyFont="1" applyFill="1" applyAlignment="1">
      <alignment horizontal="centerContinuous"/>
    </xf>
    <xf numFmtId="5" fontId="6" fillId="3" borderId="5" xfId="9" applyNumberFormat="1" applyFont="1" applyFill="1" applyBorder="1" applyAlignment="1">
      <alignment horizontal="centerContinuous"/>
    </xf>
    <xf numFmtId="49" fontId="6" fillId="0" borderId="0" xfId="9" applyNumberFormat="1" applyFont="1" applyAlignment="1">
      <alignment horizontal="right"/>
    </xf>
    <xf numFmtId="5" fontId="23" fillId="3" borderId="0" xfId="9" applyNumberFormat="1" applyFont="1" applyFill="1"/>
    <xf numFmtId="37" fontId="23" fillId="3" borderId="0" xfId="9" applyNumberFormat="1" applyFont="1" applyFill="1"/>
    <xf numFmtId="40" fontId="4" fillId="2" borderId="14" xfId="1" applyFont="1" applyFill="1" applyBorder="1"/>
    <xf numFmtId="40" fontId="12" fillId="2" borderId="0" xfId="1" applyFont="1" applyFill="1"/>
    <xf numFmtId="40" fontId="12" fillId="2" borderId="63" xfId="1" applyFont="1" applyFill="1" applyBorder="1"/>
    <xf numFmtId="40" fontId="6" fillId="2" borderId="11" xfId="1" applyFont="1" applyFill="1" applyBorder="1" applyAlignment="1">
      <alignment horizontal="center"/>
    </xf>
    <xf numFmtId="40" fontId="6" fillId="2" borderId="27" xfId="1" applyFont="1" applyFill="1" applyBorder="1" applyAlignment="1">
      <alignment horizontal="center"/>
    </xf>
    <xf numFmtId="40" fontId="12" fillId="6" borderId="0" xfId="1" applyFont="1" applyFill="1"/>
    <xf numFmtId="40" fontId="12" fillId="2" borderId="79" xfId="1" applyFont="1" applyFill="1" applyBorder="1" applyAlignment="1" applyProtection="1">
      <alignment horizontal="right"/>
    </xf>
    <xf numFmtId="40" fontId="12" fillId="2" borderId="26" xfId="1" applyFont="1" applyFill="1" applyBorder="1" applyAlignment="1" applyProtection="1">
      <alignment horizontal="right"/>
    </xf>
    <xf numFmtId="40" fontId="12" fillId="2" borderId="66" xfId="1" applyFont="1" applyFill="1" applyBorder="1" applyAlignment="1" applyProtection="1">
      <alignment horizontal="right"/>
    </xf>
    <xf numFmtId="40" fontId="12" fillId="2" borderId="117" xfId="1" applyFont="1" applyFill="1" applyBorder="1" applyAlignment="1" applyProtection="1">
      <alignment horizontal="right"/>
    </xf>
    <xf numFmtId="40" fontId="12" fillId="2" borderId="27" xfId="1" applyFont="1" applyFill="1" applyBorder="1" applyAlignment="1" applyProtection="1">
      <alignment horizontal="right"/>
    </xf>
    <xf numFmtId="40" fontId="12" fillId="2" borderId="66" xfId="1" applyFont="1" applyFill="1" applyBorder="1" applyAlignment="1">
      <alignment horizontal="right"/>
    </xf>
    <xf numFmtId="40" fontId="12" fillId="2" borderId="5" xfId="1" applyFont="1" applyFill="1" applyBorder="1" applyAlignment="1">
      <alignment horizontal="center"/>
    </xf>
    <xf numFmtId="40" fontId="35" fillId="2" borderId="0" xfId="1" applyFont="1" applyFill="1" applyAlignment="1">
      <alignment horizontal="right"/>
    </xf>
    <xf numFmtId="40" fontId="35" fillId="2" borderId="0" xfId="1" applyFont="1" applyFill="1" applyAlignment="1" applyProtection="1">
      <alignment horizontal="left"/>
    </xf>
    <xf numFmtId="40" fontId="0" fillId="2" borderId="0" xfId="1" applyFont="1" applyFill="1"/>
    <xf numFmtId="38" fontId="6" fillId="3" borderId="0" xfId="1" applyNumberFormat="1" applyFont="1" applyFill="1" applyAlignment="1">
      <alignment horizontal="center"/>
    </xf>
    <xf numFmtId="0" fontId="81" fillId="3" borderId="66" xfId="0" applyFont="1" applyFill="1" applyBorder="1" applyAlignment="1" applyProtection="1">
      <alignment horizontal="center"/>
      <protection locked="0"/>
    </xf>
    <xf numFmtId="0" fontId="6" fillId="3" borderId="22" xfId="9" applyFont="1" applyFill="1" applyBorder="1" applyAlignment="1">
      <alignment horizontal="center"/>
    </xf>
    <xf numFmtId="181" fontId="6" fillId="3" borderId="75" xfId="9" applyNumberFormat="1" applyFont="1" applyFill="1" applyBorder="1" applyAlignment="1">
      <alignment horizontal="left" indent="1"/>
    </xf>
    <xf numFmtId="181" fontId="6" fillId="3" borderId="9" xfId="9" applyNumberFormat="1" applyFont="1" applyFill="1" applyBorder="1" applyAlignment="1">
      <alignment horizontal="left" indent="1"/>
    </xf>
    <xf numFmtId="0" fontId="101" fillId="19" borderId="0" xfId="0" applyFont="1" applyFill="1"/>
    <xf numFmtId="0" fontId="5" fillId="2" borderId="0" xfId="5" applyFont="1" applyFill="1" applyAlignment="1" applyProtection="1">
      <alignment horizontal="center"/>
      <protection locked="0"/>
    </xf>
    <xf numFmtId="38" fontId="12" fillId="2" borderId="68" xfId="1" applyNumberFormat="1" applyFont="1" applyFill="1" applyBorder="1" applyAlignment="1" applyProtection="1">
      <alignment horizontal="center" vertical="center"/>
    </xf>
    <xf numFmtId="38" fontId="12" fillId="8" borderId="26" xfId="1" applyNumberFormat="1" applyFont="1" applyFill="1" applyBorder="1" applyAlignment="1" applyProtection="1">
      <alignment horizontal="right"/>
      <protection locked="0"/>
    </xf>
    <xf numFmtId="38" fontId="12" fillId="9" borderId="26" xfId="1" applyNumberFormat="1" applyFont="1" applyFill="1" applyBorder="1" applyAlignment="1" applyProtection="1">
      <alignment horizontal="right"/>
      <protection locked="0"/>
    </xf>
    <xf numFmtId="38" fontId="12" fillId="10" borderId="26" xfId="1" applyNumberFormat="1" applyFont="1" applyFill="1" applyBorder="1" applyAlignment="1" applyProtection="1">
      <alignment horizontal="right"/>
      <protection locked="0"/>
    </xf>
    <xf numFmtId="38" fontId="4" fillId="2" borderId="0" xfId="1" applyNumberFormat="1" applyFont="1" applyFill="1"/>
    <xf numFmtId="38" fontId="12" fillId="2" borderId="66" xfId="1" applyNumberFormat="1" applyFont="1" applyFill="1" applyBorder="1" applyAlignment="1" applyProtection="1">
      <alignment horizontal="right"/>
    </xf>
    <xf numFmtId="38" fontId="12" fillId="6" borderId="0" xfId="1" applyNumberFormat="1" applyFont="1" applyFill="1"/>
    <xf numFmtId="38" fontId="12" fillId="3" borderId="26" xfId="1" applyNumberFormat="1" applyFont="1" applyFill="1" applyBorder="1" applyAlignment="1" applyProtection="1">
      <alignment horizontal="right"/>
      <protection locked="0"/>
    </xf>
    <xf numFmtId="168" fontId="10" fillId="3" borderId="0" xfId="9" applyNumberFormat="1" applyFont="1" applyFill="1" applyAlignment="1">
      <alignment horizontal="center"/>
    </xf>
    <xf numFmtId="14" fontId="10" fillId="3" borderId="0" xfId="9" applyNumberFormat="1" applyFont="1" applyFill="1" applyAlignment="1">
      <alignment horizontal="center"/>
    </xf>
    <xf numFmtId="49" fontId="42" fillId="2" borderId="0" xfId="0" applyNumberFormat="1" applyFont="1" applyFill="1" applyAlignment="1">
      <alignment horizontal="center" wrapText="1"/>
    </xf>
    <xf numFmtId="49" fontId="42" fillId="2" borderId="0" xfId="0" applyNumberFormat="1" applyFont="1" applyFill="1" applyAlignment="1">
      <alignment wrapText="1"/>
    </xf>
    <xf numFmtId="38" fontId="37" fillId="2" borderId="0" xfId="1" applyNumberFormat="1" applyFont="1" applyFill="1" applyAlignment="1">
      <alignment horizontal="center" vertical="center"/>
    </xf>
    <xf numFmtId="0" fontId="51" fillId="3" borderId="10" xfId="9" applyFont="1" applyFill="1" applyBorder="1"/>
    <xf numFmtId="0" fontId="51" fillId="3" borderId="10" xfId="9" applyFont="1" applyFill="1" applyBorder="1" applyAlignment="1">
      <alignment horizontal="right"/>
    </xf>
    <xf numFmtId="49" fontId="6" fillId="3" borderId="0" xfId="9" applyNumberFormat="1" applyFont="1" applyFill="1"/>
    <xf numFmtId="10" fontId="6" fillId="19" borderId="13" xfId="7" applyNumberFormat="1" applyFont="1" applyFill="1" applyBorder="1" applyAlignment="1" applyProtection="1">
      <alignment horizontal="center"/>
    </xf>
    <xf numFmtId="1" fontId="41" fillId="2" borderId="0" xfId="9" applyNumberFormat="1" applyFont="1" applyFill="1"/>
    <xf numFmtId="9" fontId="41" fillId="2" borderId="0" xfId="7" applyFont="1" applyFill="1"/>
    <xf numFmtId="176" fontId="42" fillId="3" borderId="10" xfId="9" applyNumberFormat="1" applyFont="1" applyFill="1" applyBorder="1"/>
    <xf numFmtId="176" fontId="42" fillId="3" borderId="76" xfId="9" applyNumberFormat="1" applyFont="1" applyFill="1" applyBorder="1"/>
    <xf numFmtId="176" fontId="42" fillId="3" borderId="20" xfId="9" applyNumberFormat="1" applyFont="1" applyFill="1" applyBorder="1"/>
    <xf numFmtId="176" fontId="6" fillId="3" borderId="10" xfId="9" applyNumberFormat="1" applyFont="1" applyFill="1" applyBorder="1"/>
    <xf numFmtId="176" fontId="6" fillId="3" borderId="20" xfId="9" applyNumberFormat="1" applyFont="1" applyFill="1" applyBorder="1"/>
    <xf numFmtId="176" fontId="6" fillId="3" borderId="0" xfId="1" applyNumberFormat="1" applyFont="1" applyFill="1" applyBorder="1" applyProtection="1"/>
    <xf numFmtId="0" fontId="82" fillId="19" borderId="0" xfId="0" applyFont="1" applyFill="1" applyAlignment="1">
      <alignment horizontal="center"/>
    </xf>
    <xf numFmtId="0" fontId="58" fillId="19" borderId="0" xfId="0" applyFont="1" applyFill="1" applyAlignment="1">
      <alignment horizontal="left"/>
    </xf>
    <xf numFmtId="0" fontId="102" fillId="0" borderId="0" xfId="25" applyFont="1"/>
    <xf numFmtId="0" fontId="103" fillId="0" borderId="0" xfId="25" applyFont="1"/>
    <xf numFmtId="0" fontId="103" fillId="25" borderId="77" xfId="25" applyFont="1" applyFill="1" applyBorder="1"/>
    <xf numFmtId="0" fontId="103" fillId="25" borderId="68" xfId="25" applyFont="1" applyFill="1" applyBorder="1"/>
    <xf numFmtId="0" fontId="103" fillId="25" borderId="76" xfId="25" applyFont="1" applyFill="1" applyBorder="1"/>
    <xf numFmtId="0" fontId="103" fillId="0" borderId="75" xfId="25" applyFont="1" applyBorder="1" applyAlignment="1">
      <alignment horizontal="left" indent="5"/>
    </xf>
    <xf numFmtId="176" fontId="104" fillId="11" borderId="28" xfId="26" applyNumberFormat="1" applyFont="1" applyFill="1" applyBorder="1"/>
    <xf numFmtId="0" fontId="103" fillId="0" borderId="5" xfId="25" applyFont="1" applyBorder="1"/>
    <xf numFmtId="0" fontId="103" fillId="0" borderId="9" xfId="25" applyFont="1" applyBorder="1" applyAlignment="1">
      <alignment horizontal="left" indent="5"/>
    </xf>
    <xf numFmtId="43" fontId="104" fillId="11" borderId="28" xfId="26" applyFont="1" applyFill="1" applyBorder="1" applyAlignment="1">
      <alignment horizontal="center"/>
    </xf>
    <xf numFmtId="0" fontId="103" fillId="0" borderId="22" xfId="25" applyFont="1" applyBorder="1" applyAlignment="1">
      <alignment horizontal="left" indent="5"/>
    </xf>
    <xf numFmtId="43" fontId="105" fillId="0" borderId="20" xfId="26" applyFont="1" applyBorder="1"/>
    <xf numFmtId="0" fontId="103" fillId="25" borderId="5" xfId="25" applyFont="1" applyFill="1" applyBorder="1"/>
    <xf numFmtId="43" fontId="105" fillId="25" borderId="76" xfId="26" applyFont="1" applyFill="1" applyBorder="1"/>
    <xf numFmtId="0" fontId="103" fillId="0" borderId="72" xfId="25" applyFont="1" applyBorder="1"/>
    <xf numFmtId="176" fontId="105" fillId="0" borderId="10" xfId="26" applyNumberFormat="1" applyFont="1" applyBorder="1"/>
    <xf numFmtId="176" fontId="105" fillId="0" borderId="20" xfId="26" applyNumberFormat="1" applyFont="1" applyBorder="1"/>
    <xf numFmtId="176" fontId="105" fillId="25" borderId="76" xfId="26" applyNumberFormat="1" applyFont="1" applyFill="1" applyBorder="1"/>
    <xf numFmtId="176" fontId="104" fillId="0" borderId="10" xfId="26" applyNumberFormat="1" applyFont="1" applyFill="1" applyBorder="1"/>
    <xf numFmtId="0" fontId="103" fillId="0" borderId="10" xfId="25" applyFont="1" applyBorder="1"/>
    <xf numFmtId="0" fontId="103" fillId="0" borderId="125" xfId="25" applyFont="1" applyBorder="1" applyAlignment="1">
      <alignment horizontal="left" indent="5"/>
    </xf>
    <xf numFmtId="0" fontId="106" fillId="0" borderId="111" xfId="25" applyFont="1" applyBorder="1"/>
    <xf numFmtId="0" fontId="103" fillId="0" borderId="111" xfId="25" applyFont="1" applyBorder="1"/>
    <xf numFmtId="176" fontId="104" fillId="0" borderId="126" xfId="26" applyNumberFormat="1" applyFont="1" applyFill="1" applyBorder="1"/>
    <xf numFmtId="0" fontId="106" fillId="0" borderId="0" xfId="25" applyFont="1"/>
    <xf numFmtId="43" fontId="104" fillId="0" borderId="10" xfId="26" applyFont="1" applyFill="1" applyBorder="1"/>
    <xf numFmtId="43" fontId="104" fillId="11" borderId="28" xfId="26" applyFont="1" applyFill="1" applyBorder="1"/>
    <xf numFmtId="43" fontId="105" fillId="0" borderId="10" xfId="26" applyFont="1" applyBorder="1"/>
    <xf numFmtId="0" fontId="106" fillId="0" borderId="125" xfId="25" applyFont="1" applyBorder="1" applyAlignment="1">
      <alignment horizontal="left" indent="5"/>
    </xf>
    <xf numFmtId="176" fontId="104" fillId="0" borderId="126" xfId="26" applyNumberFormat="1" applyFont="1" applyBorder="1"/>
    <xf numFmtId="176" fontId="104" fillId="0" borderId="10" xfId="26" applyNumberFormat="1" applyFont="1" applyBorder="1"/>
    <xf numFmtId="43" fontId="104" fillId="0" borderId="10" xfId="26" applyFont="1" applyBorder="1"/>
    <xf numFmtId="10" fontId="104" fillId="0" borderId="10" xfId="27" applyNumberFormat="1" applyFont="1" applyBorder="1"/>
    <xf numFmtId="0" fontId="103" fillId="25" borderId="78" xfId="25" applyFont="1" applyFill="1" applyBorder="1"/>
    <xf numFmtId="0" fontId="103" fillId="20" borderId="66" xfId="25" applyFont="1" applyFill="1" applyBorder="1"/>
    <xf numFmtId="0" fontId="103" fillId="20" borderId="66" xfId="25" applyFont="1" applyFill="1" applyBorder="1" applyAlignment="1">
      <alignment horizontal="center"/>
    </xf>
    <xf numFmtId="0" fontId="103" fillId="20" borderId="66" xfId="25" applyFont="1" applyFill="1" applyBorder="1" applyAlignment="1">
      <alignment horizontal="right"/>
    </xf>
    <xf numFmtId="0" fontId="103" fillId="11" borderId="66" xfId="25" applyFont="1" applyFill="1" applyBorder="1" applyAlignment="1">
      <alignment horizontal="center"/>
    </xf>
    <xf numFmtId="173" fontId="103" fillId="20" borderId="66" xfId="7" applyNumberFormat="1" applyFont="1" applyFill="1" applyBorder="1"/>
    <xf numFmtId="176" fontId="103" fillId="20" borderId="66" xfId="25" applyNumberFormat="1" applyFont="1" applyFill="1" applyBorder="1"/>
    <xf numFmtId="0" fontId="103" fillId="11" borderId="66" xfId="25" applyFont="1" applyFill="1" applyBorder="1"/>
    <xf numFmtId="0" fontId="103" fillId="20" borderId="63" xfId="25" applyFont="1" applyFill="1" applyBorder="1"/>
    <xf numFmtId="38" fontId="6" fillId="0" borderId="0" xfId="1" applyNumberFormat="1" applyFont="1" applyFill="1" applyBorder="1" applyAlignment="1" applyProtection="1">
      <alignment vertical="center"/>
      <protection locked="0"/>
    </xf>
    <xf numFmtId="0" fontId="103" fillId="0" borderId="75" xfId="25" applyFont="1" applyBorder="1"/>
    <xf numFmtId="43" fontId="103" fillId="0" borderId="0" xfId="25" applyNumberFormat="1" applyFont="1"/>
    <xf numFmtId="176" fontId="103" fillId="0" borderId="10" xfId="25" applyNumberFormat="1" applyFont="1" applyBorder="1"/>
    <xf numFmtId="0" fontId="103" fillId="0" borderId="14" xfId="25" applyFont="1" applyBorder="1"/>
    <xf numFmtId="176" fontId="104" fillId="0" borderId="127" xfId="26" applyNumberFormat="1" applyFont="1" applyBorder="1"/>
    <xf numFmtId="176" fontId="103" fillId="0" borderId="10" xfId="1" applyNumberFormat="1" applyFont="1" applyBorder="1"/>
    <xf numFmtId="0" fontId="103" fillId="0" borderId="128" xfId="25" applyFont="1" applyBorder="1"/>
    <xf numFmtId="176" fontId="103" fillId="0" borderId="127" xfId="25" applyNumberFormat="1" applyFont="1" applyBorder="1"/>
    <xf numFmtId="0" fontId="103" fillId="0" borderId="129" xfId="25" applyFont="1" applyBorder="1"/>
    <xf numFmtId="0" fontId="103" fillId="0" borderId="106" xfId="25" applyFont="1" applyBorder="1"/>
    <xf numFmtId="0" fontId="103" fillId="0" borderId="27" xfId="25" applyFont="1" applyBorder="1"/>
    <xf numFmtId="0" fontId="103" fillId="0" borderId="66" xfId="25" applyFont="1" applyBorder="1"/>
    <xf numFmtId="0" fontId="103" fillId="0" borderId="66" xfId="25" applyFont="1" applyBorder="1" applyAlignment="1">
      <alignment horizontal="right"/>
    </xf>
    <xf numFmtId="0" fontId="103" fillId="0" borderId="11" xfId="25" applyFont="1" applyBorder="1"/>
    <xf numFmtId="0" fontId="103" fillId="0" borderId="63" xfId="25" applyFont="1" applyBorder="1"/>
    <xf numFmtId="0" fontId="103" fillId="0" borderId="11" xfId="25" applyFont="1" applyBorder="1" applyAlignment="1">
      <alignment horizontal="center"/>
    </xf>
    <xf numFmtId="176" fontId="104" fillId="0" borderId="11" xfId="26" applyNumberFormat="1" applyFont="1" applyFill="1" applyBorder="1" applyAlignment="1">
      <alignment horizontal="right"/>
    </xf>
    <xf numFmtId="43" fontId="103" fillId="0" borderId="11" xfId="25" applyNumberFormat="1" applyFont="1" applyBorder="1"/>
    <xf numFmtId="0" fontId="103" fillId="0" borderId="100" xfId="25" applyFont="1" applyBorder="1"/>
    <xf numFmtId="176" fontId="103" fillId="0" borderId="100" xfId="25" applyNumberFormat="1" applyFont="1" applyBorder="1"/>
    <xf numFmtId="176" fontId="103" fillId="0" borderId="130" xfId="25" applyNumberFormat="1" applyFont="1" applyBorder="1"/>
    <xf numFmtId="0" fontId="103" fillId="0" borderId="9" xfId="25" applyFont="1" applyBorder="1"/>
    <xf numFmtId="176" fontId="103" fillId="25" borderId="78" xfId="25" applyNumberFormat="1" applyFont="1" applyFill="1" applyBorder="1"/>
    <xf numFmtId="176" fontId="103" fillId="0" borderId="63" xfId="25" applyNumberFormat="1" applyFont="1" applyBorder="1"/>
    <xf numFmtId="176" fontId="103" fillId="0" borderId="11" xfId="25" applyNumberFormat="1" applyFont="1" applyBorder="1"/>
    <xf numFmtId="176" fontId="103" fillId="0" borderId="131" xfId="25" applyNumberFormat="1" applyFont="1" applyBorder="1"/>
    <xf numFmtId="0" fontId="103" fillId="0" borderId="22" xfId="25" applyFont="1" applyBorder="1"/>
    <xf numFmtId="0" fontId="103" fillId="0" borderId="113" xfId="25" applyFont="1" applyBorder="1"/>
    <xf numFmtId="176" fontId="103" fillId="0" borderId="28" xfId="25" applyNumberFormat="1" applyFont="1" applyBorder="1"/>
    <xf numFmtId="0" fontId="107" fillId="0" borderId="0" xfId="25" applyFont="1"/>
    <xf numFmtId="0" fontId="103" fillId="0" borderId="132" xfId="25" applyFont="1" applyBorder="1" applyAlignment="1">
      <alignment horizontal="right"/>
    </xf>
    <xf numFmtId="0" fontId="103" fillId="0" borderId="133" xfId="25" applyFont="1" applyBorder="1" applyAlignment="1">
      <alignment horizontal="right"/>
    </xf>
    <xf numFmtId="0" fontId="103" fillId="0" borderId="133" xfId="25" applyFont="1" applyBorder="1"/>
    <xf numFmtId="0" fontId="103" fillId="0" borderId="134" xfId="25" applyFont="1" applyBorder="1" applyAlignment="1">
      <alignment horizontal="right"/>
    </xf>
    <xf numFmtId="0" fontId="103" fillId="0" borderId="1" xfId="25" applyFont="1" applyBorder="1"/>
    <xf numFmtId="38" fontId="103" fillId="0" borderId="0" xfId="1" applyNumberFormat="1" applyFont="1" applyBorder="1"/>
    <xf numFmtId="38" fontId="103" fillId="0" borderId="0" xfId="1" applyNumberFormat="1" applyFont="1" applyFill="1" applyBorder="1"/>
    <xf numFmtId="9" fontId="103" fillId="0" borderId="0" xfId="7" applyFont="1" applyBorder="1" applyAlignment="1">
      <alignment horizontal="center"/>
    </xf>
    <xf numFmtId="38" fontId="103" fillId="0" borderId="94" xfId="1" applyNumberFormat="1" applyFont="1" applyBorder="1"/>
    <xf numFmtId="38" fontId="103" fillId="0" borderId="0" xfId="25" applyNumberFormat="1" applyFont="1"/>
    <xf numFmtId="0" fontId="103" fillId="0" borderId="1" xfId="25" applyFont="1" applyBorder="1" applyAlignment="1">
      <alignment horizontal="right"/>
    </xf>
    <xf numFmtId="0" fontId="103" fillId="0" borderId="94" xfId="25" applyFont="1" applyBorder="1"/>
    <xf numFmtId="0" fontId="108" fillId="0" borderId="95" xfId="3" applyFont="1" applyBorder="1" applyAlignment="1" applyProtection="1"/>
    <xf numFmtId="0" fontId="103" fillId="0" borderId="96" xfId="25" applyFont="1" applyBorder="1"/>
    <xf numFmtId="0" fontId="103" fillId="0" borderId="97" xfId="25" applyFont="1" applyBorder="1"/>
    <xf numFmtId="42" fontId="81" fillId="20" borderId="66" xfId="2" applyNumberFormat="1" applyFont="1" applyFill="1" applyBorder="1" applyProtection="1">
      <protection locked="0"/>
    </xf>
    <xf numFmtId="14" fontId="6" fillId="0" borderId="0" xfId="9" applyNumberFormat="1" applyFont="1"/>
    <xf numFmtId="40" fontId="6" fillId="3" borderId="0" xfId="1" applyFont="1" applyFill="1"/>
    <xf numFmtId="0" fontId="6" fillId="0" borderId="1" xfId="9" applyFont="1" applyBorder="1"/>
    <xf numFmtId="10" fontId="6" fillId="0" borderId="94" xfId="7" applyNumberFormat="1" applyFont="1" applyFill="1" applyBorder="1" applyProtection="1"/>
    <xf numFmtId="14" fontId="6" fillId="3" borderId="1" xfId="16" applyNumberFormat="1" applyFont="1" applyFill="1" applyBorder="1"/>
    <xf numFmtId="0" fontId="6" fillId="0" borderId="94" xfId="9" applyFont="1" applyBorder="1"/>
    <xf numFmtId="8" fontId="6" fillId="0" borderId="94" xfId="2" applyFont="1" applyFill="1" applyBorder="1" applyProtection="1"/>
    <xf numFmtId="38" fontId="6" fillId="3" borderId="0" xfId="1" applyNumberFormat="1" applyFont="1" applyFill="1"/>
    <xf numFmtId="14" fontId="6" fillId="3" borderId="95" xfId="16" applyNumberFormat="1" applyFont="1" applyFill="1" applyBorder="1"/>
    <xf numFmtId="3" fontId="6" fillId="0" borderId="96" xfId="9" applyNumberFormat="1" applyFont="1" applyBorder="1"/>
    <xf numFmtId="8" fontId="6" fillId="0" borderId="97" xfId="2" applyFont="1" applyFill="1" applyBorder="1" applyProtection="1"/>
    <xf numFmtId="14" fontId="6" fillId="3" borderId="0" xfId="9" applyNumberFormat="1" applyFont="1" applyFill="1"/>
    <xf numFmtId="0" fontId="39" fillId="2" borderId="0" xfId="16" applyFont="1" applyFill="1" applyAlignment="1">
      <alignment horizontal="center"/>
    </xf>
    <xf numFmtId="0" fontId="41" fillId="2" borderId="0" xfId="0" applyFont="1" applyFill="1" applyAlignment="1">
      <alignment horizontal="left" vertical="top" wrapText="1"/>
    </xf>
    <xf numFmtId="0" fontId="56" fillId="2" borderId="0" xfId="0" applyFont="1" applyFill="1" applyAlignment="1">
      <alignment horizontal="center"/>
    </xf>
    <xf numFmtId="0" fontId="44" fillId="2" borderId="0" xfId="0" applyFont="1" applyFill="1" applyAlignment="1">
      <alignment horizontal="left" wrapText="1"/>
    </xf>
    <xf numFmtId="0" fontId="4" fillId="2" borderId="0" xfId="16" applyFont="1" applyFill="1" applyAlignment="1">
      <alignment horizontal="left" vertical="top" wrapText="1" indent="1"/>
    </xf>
    <xf numFmtId="0" fontId="4" fillId="2" borderId="0" xfId="16" applyFont="1" applyFill="1" applyAlignment="1">
      <alignment horizontal="left" vertical="top" wrapText="1" indent="2"/>
    </xf>
    <xf numFmtId="0" fontId="5" fillId="2" borderId="14" xfId="16" applyFont="1" applyFill="1" applyBorder="1" applyAlignment="1">
      <alignment horizontal="left" vertical="top" wrapText="1"/>
    </xf>
    <xf numFmtId="0" fontId="36" fillId="2" borderId="0" xfId="16" applyFont="1" applyFill="1" applyAlignment="1">
      <alignment horizontal="left" vertical="top" wrapText="1" indent="1"/>
    </xf>
    <xf numFmtId="0" fontId="4" fillId="2" borderId="0" xfId="16" applyFont="1" applyFill="1" applyAlignment="1">
      <alignment horizontal="left" vertical="top" wrapText="1"/>
    </xf>
    <xf numFmtId="0" fontId="44" fillId="2" borderId="0" xfId="9" applyFont="1" applyFill="1" applyAlignment="1">
      <alignment horizontal="center"/>
    </xf>
    <xf numFmtId="0" fontId="82" fillId="2" borderId="0" xfId="9" applyFont="1" applyFill="1" applyAlignment="1">
      <alignment horizontal="center"/>
    </xf>
    <xf numFmtId="49" fontId="42" fillId="0" borderId="29" xfId="3" applyNumberFormat="1" applyFont="1" applyBorder="1" applyAlignment="1" applyProtection="1">
      <alignment horizontal="center" vertical="center" wrapText="1"/>
      <protection locked="0"/>
    </xf>
    <xf numFmtId="49" fontId="42" fillId="0" borderId="31" xfId="3" applyNumberFormat="1" applyFont="1" applyBorder="1" applyAlignment="1" applyProtection="1">
      <alignment horizontal="center" vertical="center" wrapText="1"/>
      <protection locked="0"/>
    </xf>
    <xf numFmtId="49" fontId="42" fillId="0" borderId="30" xfId="3" applyNumberFormat="1" applyFont="1" applyBorder="1" applyAlignment="1" applyProtection="1">
      <alignment horizontal="center" vertical="center" wrapText="1"/>
      <protection locked="0"/>
    </xf>
    <xf numFmtId="49" fontId="42" fillId="0" borderId="29" xfId="3" applyNumberFormat="1" applyFont="1" applyFill="1" applyBorder="1" applyAlignment="1" applyProtection="1">
      <alignment horizontal="center" vertical="center" wrapText="1"/>
      <protection locked="0"/>
    </xf>
    <xf numFmtId="49" fontId="42" fillId="0" borderId="31" xfId="3" applyNumberFormat="1" applyFont="1" applyFill="1" applyBorder="1" applyAlignment="1" applyProtection="1">
      <alignment horizontal="center" vertical="center" wrapText="1"/>
      <protection locked="0"/>
    </xf>
    <xf numFmtId="49" fontId="42" fillId="0" borderId="30" xfId="3" applyNumberFormat="1" applyFont="1" applyFill="1" applyBorder="1" applyAlignment="1" applyProtection="1">
      <alignment horizontal="center" vertical="center" wrapText="1"/>
      <protection locked="0"/>
    </xf>
    <xf numFmtId="0" fontId="41" fillId="2" borderId="0" xfId="0" applyFont="1" applyFill="1" applyAlignment="1">
      <alignment horizontal="center"/>
    </xf>
    <xf numFmtId="0" fontId="42" fillId="2" borderId="0" xfId="0" applyFont="1" applyFill="1" applyAlignment="1">
      <alignment wrapText="1"/>
    </xf>
    <xf numFmtId="0" fontId="42" fillId="0" borderId="29" xfId="0" applyFont="1" applyBorder="1" applyAlignment="1" applyProtection="1">
      <alignment vertical="center" wrapText="1"/>
      <protection locked="0"/>
    </xf>
    <xf numFmtId="0" fontId="42" fillId="0" borderId="31" xfId="0" applyFont="1" applyBorder="1" applyAlignment="1" applyProtection="1">
      <alignment vertical="center" wrapText="1"/>
      <protection locked="0"/>
    </xf>
    <xf numFmtId="0" fontId="42" fillId="0" borderId="29" xfId="0" applyFont="1" applyBorder="1" applyAlignment="1" applyProtection="1">
      <alignment horizontal="center" vertical="center" wrapText="1"/>
      <protection locked="0"/>
    </xf>
    <xf numFmtId="0" fontId="42" fillId="0" borderId="30" xfId="0" applyFont="1" applyBorder="1" applyAlignment="1" applyProtection="1">
      <alignment horizontal="center" vertical="center" wrapText="1"/>
      <protection locked="0"/>
    </xf>
    <xf numFmtId="0" fontId="42" fillId="2" borderId="0" xfId="0" applyFont="1" applyFill="1" applyAlignment="1">
      <alignment horizontal="center" wrapText="1"/>
    </xf>
    <xf numFmtId="0" fontId="42" fillId="2" borderId="31" xfId="0" applyFont="1" applyFill="1" applyBorder="1" applyAlignment="1">
      <alignment wrapText="1"/>
    </xf>
    <xf numFmtId="0" fontId="42" fillId="0" borderId="32" xfId="0" applyFont="1" applyBorder="1" applyAlignment="1" applyProtection="1">
      <alignment horizontal="left" vertical="top" wrapText="1"/>
      <protection locked="0"/>
    </xf>
    <xf numFmtId="0" fontId="42" fillId="0" borderId="36" xfId="0" applyFont="1" applyBorder="1" applyAlignment="1" applyProtection="1">
      <alignment horizontal="left" vertical="top"/>
      <protection locked="0"/>
    </xf>
    <xf numFmtId="0" fontId="42" fillId="0" borderId="33" xfId="0" applyFont="1" applyBorder="1" applyAlignment="1" applyProtection="1">
      <alignment horizontal="left" vertical="top"/>
      <protection locked="0"/>
    </xf>
    <xf numFmtId="0" fontId="42" fillId="0" borderId="69" xfId="0" applyFont="1" applyBorder="1" applyAlignment="1" applyProtection="1">
      <alignment horizontal="left" vertical="top"/>
      <protection locked="0"/>
    </xf>
    <xf numFmtId="0" fontId="42" fillId="0" borderId="0" xfId="0" applyFont="1" applyAlignment="1" applyProtection="1">
      <alignment horizontal="left" vertical="top"/>
      <protection locked="0"/>
    </xf>
    <xf numFmtId="0" fontId="42" fillId="0" borderId="70" xfId="0" applyFont="1" applyBorder="1" applyAlignment="1" applyProtection="1">
      <alignment horizontal="left" vertical="top"/>
      <protection locked="0"/>
    </xf>
    <xf numFmtId="0" fontId="42" fillId="0" borderId="34" xfId="0" applyFont="1" applyBorder="1" applyAlignment="1" applyProtection="1">
      <alignment horizontal="left" vertical="top"/>
      <protection locked="0"/>
    </xf>
    <xf numFmtId="0" fontId="42" fillId="0" borderId="37" xfId="0" applyFont="1" applyBorder="1" applyAlignment="1" applyProtection="1">
      <alignment horizontal="left" vertical="top"/>
      <protection locked="0"/>
    </xf>
    <xf numFmtId="0" fontId="42" fillId="0" borderId="35" xfId="0" applyFont="1" applyBorder="1" applyAlignment="1" applyProtection="1">
      <alignment horizontal="left" vertical="top"/>
      <protection locked="0"/>
    </xf>
    <xf numFmtId="0" fontId="41" fillId="2" borderId="31" xfId="0" applyFont="1" applyFill="1" applyBorder="1" applyAlignment="1">
      <alignment wrapText="1"/>
    </xf>
    <xf numFmtId="0" fontId="42" fillId="0" borderId="29" xfId="0" applyFont="1" applyBorder="1" applyAlignment="1" applyProtection="1">
      <alignment horizontal="left" vertical="center" wrapText="1"/>
      <protection locked="0"/>
    </xf>
    <xf numFmtId="0" fontId="41" fillId="0" borderId="31" xfId="0" applyFont="1" applyBorder="1" applyAlignment="1" applyProtection="1">
      <alignment horizontal="left" vertical="center" wrapText="1"/>
      <protection locked="0"/>
    </xf>
    <xf numFmtId="0" fontId="41" fillId="0" borderId="30" xfId="0" applyFont="1" applyBorder="1" applyAlignment="1" applyProtection="1">
      <alignment horizontal="left" vertical="center" wrapText="1"/>
      <protection locked="0"/>
    </xf>
    <xf numFmtId="0" fontId="41" fillId="0" borderId="30" xfId="0" applyFont="1" applyBorder="1" applyAlignment="1" applyProtection="1">
      <alignment vertical="center" wrapText="1"/>
      <protection locked="0"/>
    </xf>
    <xf numFmtId="0" fontId="45" fillId="0" borderId="29" xfId="0" applyFont="1" applyBorder="1" applyAlignment="1" applyProtection="1">
      <alignment horizontal="left" vertical="center"/>
      <protection locked="0"/>
    </xf>
    <xf numFmtId="0" fontId="44" fillId="0" borderId="31" xfId="0" applyFont="1" applyBorder="1" applyAlignment="1" applyProtection="1">
      <alignment horizontal="left" vertical="center"/>
      <protection locked="0"/>
    </xf>
    <xf numFmtId="0" fontId="44" fillId="0" borderId="30" xfId="0" applyFont="1" applyBorder="1" applyAlignment="1" applyProtection="1">
      <alignment horizontal="left" vertical="center"/>
      <protection locked="0"/>
    </xf>
    <xf numFmtId="0" fontId="42" fillId="0" borderId="29" xfId="0" applyFont="1" applyBorder="1" applyAlignment="1" applyProtection="1">
      <alignment horizontal="center"/>
      <protection locked="0"/>
    </xf>
    <xf numFmtId="0" fontId="41" fillId="0" borderId="31" xfId="0" applyFont="1" applyBorder="1" applyAlignment="1" applyProtection="1">
      <alignment horizontal="center"/>
      <protection locked="0"/>
    </xf>
    <xf numFmtId="0" fontId="41" fillId="0" borderId="30" xfId="0" applyFont="1" applyBorder="1" applyAlignment="1" applyProtection="1">
      <alignment horizontal="center"/>
      <protection locked="0"/>
    </xf>
    <xf numFmtId="0" fontId="41" fillId="0" borderId="31" xfId="0" applyFont="1" applyBorder="1" applyAlignment="1" applyProtection="1">
      <alignment horizontal="left" vertical="center"/>
      <protection locked="0"/>
    </xf>
    <xf numFmtId="0" fontId="41" fillId="0" borderId="30" xfId="0" applyFont="1" applyBorder="1" applyAlignment="1" applyProtection="1">
      <alignment horizontal="left" vertical="center"/>
      <protection locked="0"/>
    </xf>
    <xf numFmtId="0" fontId="42" fillId="0" borderId="29" xfId="0" applyFont="1" applyBorder="1" applyAlignment="1" applyProtection="1">
      <alignment horizontal="left" vertical="top" wrapText="1"/>
      <protection locked="0"/>
    </xf>
    <xf numFmtId="0" fontId="41" fillId="0" borderId="31" xfId="0" applyFont="1" applyBorder="1" applyAlignment="1" applyProtection="1">
      <alignment horizontal="left" vertical="top"/>
      <protection locked="0"/>
    </xf>
    <xf numFmtId="0" fontId="41" fillId="0" borderId="30" xfId="0" applyFont="1" applyBorder="1" applyAlignment="1" applyProtection="1">
      <alignment horizontal="left" vertical="top"/>
      <protection locked="0"/>
    </xf>
    <xf numFmtId="0" fontId="42" fillId="0" borderId="29" xfId="0" applyFont="1" applyBorder="1" applyAlignment="1" applyProtection="1">
      <alignment horizontal="left" vertical="top"/>
      <protection locked="0"/>
    </xf>
    <xf numFmtId="0" fontId="42" fillId="0" borderId="29" xfId="0" applyFont="1" applyBorder="1" applyAlignment="1" applyProtection="1">
      <alignment horizontal="left" vertical="center" indent="2"/>
      <protection locked="0"/>
    </xf>
    <xf numFmtId="0" fontId="42" fillId="0" borderId="31" xfId="0" applyFont="1" applyBorder="1" applyAlignment="1" applyProtection="1">
      <alignment horizontal="left" vertical="center" indent="2"/>
      <protection locked="0"/>
    </xf>
    <xf numFmtId="0" fontId="41" fillId="0" borderId="31" xfId="0" applyFont="1" applyBorder="1" applyAlignment="1" applyProtection="1">
      <alignment horizontal="left" vertical="center" indent="2"/>
      <protection locked="0"/>
    </xf>
    <xf numFmtId="0" fontId="41" fillId="0" borderId="30" xfId="0" applyFont="1" applyBorder="1" applyAlignment="1" applyProtection="1">
      <alignment horizontal="left" vertical="center" indent="2"/>
      <protection locked="0"/>
    </xf>
    <xf numFmtId="0" fontId="42" fillId="0" borderId="29" xfId="0" applyFont="1" applyBorder="1" applyAlignment="1" applyProtection="1">
      <alignment horizontal="center" vertical="center"/>
      <protection locked="0"/>
    </xf>
    <xf numFmtId="0" fontId="41" fillId="0" borderId="31" xfId="0" applyFont="1" applyBorder="1" applyAlignment="1" applyProtection="1">
      <alignment horizontal="center" vertical="center"/>
      <protection locked="0"/>
    </xf>
    <xf numFmtId="0" fontId="41" fillId="0" borderId="30" xfId="0" applyFont="1" applyBorder="1" applyAlignment="1" applyProtection="1">
      <alignment horizontal="center" vertical="center"/>
      <protection locked="0"/>
    </xf>
    <xf numFmtId="0" fontId="42" fillId="0" borderId="29" xfId="0" applyFont="1" applyBorder="1" applyAlignment="1" applyProtection="1">
      <alignment horizontal="left" vertical="center"/>
      <protection locked="0"/>
    </xf>
    <xf numFmtId="0" fontId="42" fillId="0" borderId="31" xfId="0" applyFont="1" applyBorder="1" applyAlignment="1" applyProtection="1">
      <alignment horizontal="left" vertical="center"/>
      <protection locked="0"/>
    </xf>
    <xf numFmtId="0" fontId="4" fillId="0" borderId="23" xfId="16" applyFont="1" applyBorder="1" applyAlignment="1" applyProtection="1">
      <alignment horizontal="left" vertical="top" wrapText="1"/>
      <protection locked="0"/>
    </xf>
    <xf numFmtId="0" fontId="4" fillId="0" borderId="24" xfId="16" applyFont="1" applyBorder="1" applyAlignment="1" applyProtection="1">
      <alignment horizontal="left" vertical="top" wrapText="1"/>
      <protection locked="0"/>
    </xf>
    <xf numFmtId="0" fontId="4" fillId="0" borderId="25" xfId="16" applyFont="1" applyBorder="1" applyAlignment="1" applyProtection="1">
      <alignment horizontal="left" vertical="top" wrapText="1"/>
      <protection locked="0"/>
    </xf>
    <xf numFmtId="0" fontId="4" fillId="0" borderId="1" xfId="16" applyFont="1" applyBorder="1" applyAlignment="1" applyProtection="1">
      <alignment horizontal="left" vertical="top" wrapText="1"/>
      <protection locked="0"/>
    </xf>
    <xf numFmtId="0" fontId="4" fillId="0" borderId="0" xfId="16" applyFont="1" applyAlignment="1" applyProtection="1">
      <alignment horizontal="left" vertical="top" wrapText="1"/>
      <protection locked="0"/>
    </xf>
    <xf numFmtId="0" fontId="4" fillId="0" borderId="12" xfId="16" applyFont="1" applyBorder="1" applyAlignment="1" applyProtection="1">
      <alignment horizontal="left" vertical="top" wrapText="1"/>
      <protection locked="0"/>
    </xf>
    <xf numFmtId="0" fontId="4" fillId="0" borderId="2" xfId="16" applyFont="1" applyBorder="1" applyAlignment="1" applyProtection="1">
      <alignment horizontal="left" vertical="top" wrapText="1"/>
      <protection locked="0"/>
    </xf>
    <xf numFmtId="0" fontId="4" fillId="0" borderId="3" xfId="16" applyFont="1" applyBorder="1" applyAlignment="1" applyProtection="1">
      <alignment horizontal="left" vertical="top" wrapText="1"/>
      <protection locked="0"/>
    </xf>
    <xf numFmtId="0" fontId="4" fillId="0" borderId="4" xfId="16" applyFont="1" applyBorder="1" applyAlignment="1" applyProtection="1">
      <alignment horizontal="left" vertical="top" wrapText="1"/>
      <protection locked="0"/>
    </xf>
    <xf numFmtId="0" fontId="5" fillId="2" borderId="24" xfId="16" applyFont="1" applyFill="1" applyBorder="1" applyAlignment="1">
      <alignment horizontal="center"/>
    </xf>
    <xf numFmtId="0" fontId="62" fillId="2" borderId="0" xfId="16" applyFont="1" applyFill="1" applyAlignment="1">
      <alignment horizontal="center" vertical="top" wrapText="1"/>
    </xf>
    <xf numFmtId="0" fontId="54" fillId="2" borderId="0" xfId="16" applyFont="1" applyFill="1" applyAlignment="1">
      <alignment horizontal="left" vertical="top" wrapText="1"/>
    </xf>
    <xf numFmtId="0" fontId="39" fillId="2" borderId="0" xfId="16" applyFont="1" applyFill="1" applyAlignment="1">
      <alignment horizontal="left" wrapText="1"/>
    </xf>
    <xf numFmtId="0" fontId="62" fillId="2" borderId="1" xfId="16" applyFont="1" applyFill="1" applyBorder="1" applyAlignment="1">
      <alignment horizontal="center"/>
    </xf>
    <xf numFmtId="0" fontId="62" fillId="2" borderId="0" xfId="16" applyFont="1" applyFill="1" applyAlignment="1">
      <alignment horizontal="center"/>
    </xf>
    <xf numFmtId="0" fontId="62" fillId="2" borderId="12" xfId="16" applyFont="1" applyFill="1" applyBorder="1" applyAlignment="1">
      <alignment horizontal="center"/>
    </xf>
    <xf numFmtId="164" fontId="10" fillId="0" borderId="29" xfId="0" applyNumberFormat="1" applyFont="1" applyBorder="1" applyAlignment="1" applyProtection="1">
      <alignment horizontal="center" vertical="center"/>
      <protection locked="0"/>
    </xf>
    <xf numFmtId="164" fontId="10" fillId="0" borderId="30" xfId="0" applyNumberFormat="1" applyFont="1" applyBorder="1" applyAlignment="1" applyProtection="1">
      <alignment horizontal="center" vertical="center"/>
      <protection locked="0"/>
    </xf>
    <xf numFmtId="0" fontId="45" fillId="2" borderId="29" xfId="0" applyFont="1" applyFill="1" applyBorder="1" applyAlignment="1">
      <alignment horizontal="center" vertical="center"/>
    </xf>
    <xf numFmtId="0" fontId="44" fillId="2" borderId="31" xfId="0" applyFont="1" applyFill="1" applyBorder="1" applyAlignment="1">
      <alignment vertical="center"/>
    </xf>
    <xf numFmtId="0" fontId="44" fillId="2" borderId="30" xfId="0" applyFont="1" applyFill="1" applyBorder="1" applyAlignment="1">
      <alignment vertical="center"/>
    </xf>
    <xf numFmtId="0" fontId="42" fillId="0" borderId="29" xfId="0" applyFont="1" applyBorder="1" applyAlignment="1" applyProtection="1">
      <alignment vertical="top" wrapText="1"/>
      <protection locked="0"/>
    </xf>
    <xf numFmtId="0" fontId="41" fillId="0" borderId="31" xfId="0" applyFont="1" applyBorder="1" applyAlignment="1" applyProtection="1">
      <alignment vertical="top" wrapText="1"/>
      <protection locked="0"/>
    </xf>
    <xf numFmtId="0" fontId="41" fillId="0" borderId="30" xfId="0" applyFont="1" applyBorder="1" applyAlignment="1" applyProtection="1">
      <alignment vertical="top" wrapText="1"/>
      <protection locked="0"/>
    </xf>
    <xf numFmtId="0" fontId="45" fillId="2" borderId="0" xfId="0" applyFont="1" applyFill="1" applyAlignment="1">
      <alignment horizontal="left" vertical="center" wrapText="1" indent="3"/>
    </xf>
    <xf numFmtId="0" fontId="45" fillId="2" borderId="0" xfId="0" applyFont="1" applyFill="1" applyAlignment="1">
      <alignment horizontal="left" wrapText="1" indent="3"/>
    </xf>
    <xf numFmtId="8" fontId="42" fillId="0" borderId="29" xfId="2" applyFont="1" applyFill="1" applyBorder="1" applyAlignment="1" applyProtection="1">
      <alignment horizontal="center"/>
      <protection locked="0"/>
    </xf>
    <xf numFmtId="8" fontId="42" fillId="0" borderId="30" xfId="2" applyFont="1" applyFill="1" applyBorder="1" applyAlignment="1" applyProtection="1">
      <alignment horizontal="center"/>
      <protection locked="0"/>
    </xf>
    <xf numFmtId="0" fontId="45" fillId="0" borderId="31" xfId="0" applyFont="1" applyBorder="1" applyAlignment="1" applyProtection="1">
      <alignment horizontal="left" vertical="center"/>
      <protection locked="0"/>
    </xf>
    <xf numFmtId="0" fontId="45" fillId="0" borderId="30" xfId="0" applyFont="1" applyBorder="1" applyAlignment="1" applyProtection="1">
      <alignment horizontal="left" vertical="center"/>
      <protection locked="0"/>
    </xf>
    <xf numFmtId="164" fontId="10" fillId="0" borderId="29" xfId="0" applyNumberFormat="1" applyFont="1" applyBorder="1" applyAlignment="1" applyProtection="1">
      <alignment horizontal="center" vertical="top"/>
      <protection locked="0"/>
    </xf>
    <xf numFmtId="164" fontId="10" fillId="0" borderId="30" xfId="0" applyNumberFormat="1" applyFont="1" applyBorder="1" applyAlignment="1" applyProtection="1">
      <alignment horizontal="center" vertical="top"/>
      <protection locked="0"/>
    </xf>
    <xf numFmtId="0" fontId="45" fillId="0" borderId="29" xfId="0" applyFont="1" applyBorder="1" applyAlignment="1" applyProtection="1">
      <alignment horizontal="left" vertical="center" indent="1"/>
      <protection locked="0"/>
    </xf>
    <xf numFmtId="0" fontId="44" fillId="0" borderId="31" xfId="0" applyFont="1" applyBorder="1" applyAlignment="1" applyProtection="1">
      <alignment horizontal="left" vertical="center" indent="1"/>
      <protection locked="0"/>
    </xf>
    <xf numFmtId="0" fontId="44" fillId="0" borderId="30" xfId="0" applyFont="1" applyBorder="1" applyAlignment="1" applyProtection="1">
      <alignment horizontal="left" vertical="center" indent="1"/>
      <protection locked="0"/>
    </xf>
    <xf numFmtId="0" fontId="43" fillId="2" borderId="77" xfId="0" applyFont="1" applyFill="1" applyBorder="1" applyAlignment="1" applyProtection="1">
      <alignment horizontal="left" indent="1"/>
      <protection locked="0"/>
    </xf>
    <xf numFmtId="0" fontId="43" fillId="2" borderId="68" xfId="0" applyFont="1" applyFill="1" applyBorder="1" applyAlignment="1" applyProtection="1">
      <alignment horizontal="left" indent="1"/>
      <protection locked="0"/>
    </xf>
    <xf numFmtId="0" fontId="43" fillId="2" borderId="78" xfId="0" applyFont="1" applyFill="1" applyBorder="1" applyAlignment="1" applyProtection="1">
      <alignment horizontal="left" indent="1"/>
      <protection locked="0"/>
    </xf>
    <xf numFmtId="0" fontId="44" fillId="2" borderId="0" xfId="16" applyFont="1" applyFill="1" applyAlignment="1">
      <alignment horizontal="center"/>
    </xf>
    <xf numFmtId="0" fontId="42" fillId="2" borderId="37" xfId="0" applyFont="1" applyFill="1" applyBorder="1" applyAlignment="1">
      <alignment horizontal="left" wrapText="1"/>
    </xf>
    <xf numFmtId="49" fontId="42" fillId="0" borderId="29" xfId="0" applyNumberFormat="1" applyFont="1" applyBorder="1" applyAlignment="1" applyProtection="1">
      <alignment horizontal="left" vertical="center"/>
      <protection locked="0"/>
    </xf>
    <xf numFmtId="49" fontId="42" fillId="0" borderId="31" xfId="0" applyNumberFormat="1" applyFont="1" applyBorder="1" applyAlignment="1" applyProtection="1">
      <alignment horizontal="left" vertical="center"/>
      <protection locked="0"/>
    </xf>
    <xf numFmtId="49" fontId="42" fillId="0" borderId="30" xfId="0" applyNumberFormat="1" applyFont="1" applyBorder="1" applyAlignment="1" applyProtection="1">
      <alignment horizontal="left" vertical="center"/>
      <protection locked="0"/>
    </xf>
    <xf numFmtId="0" fontId="41" fillId="0" borderId="31" xfId="0" applyFont="1" applyBorder="1" applyAlignment="1" applyProtection="1">
      <alignment vertical="center" wrapText="1"/>
      <protection locked="0"/>
    </xf>
    <xf numFmtId="0" fontId="41" fillId="0" borderId="31" xfId="0" applyFont="1" applyBorder="1" applyAlignment="1" applyProtection="1">
      <alignment vertical="center"/>
      <protection locked="0"/>
    </xf>
    <xf numFmtId="0" fontId="41" fillId="0" borderId="30" xfId="0" applyFont="1" applyBorder="1" applyAlignment="1" applyProtection="1">
      <alignment vertical="center"/>
      <protection locked="0"/>
    </xf>
    <xf numFmtId="0" fontId="45" fillId="0" borderId="31" xfId="0" applyFont="1" applyBorder="1" applyAlignment="1" applyProtection="1">
      <alignment horizontal="left" vertical="center" indent="1"/>
      <protection locked="0"/>
    </xf>
    <xf numFmtId="0" fontId="45" fillId="0" borderId="30" xfId="0" applyFont="1" applyBorder="1" applyAlignment="1" applyProtection="1">
      <alignment horizontal="left" vertical="center" indent="1"/>
      <protection locked="0"/>
    </xf>
    <xf numFmtId="0" fontId="42" fillId="0" borderId="29" xfId="0" applyFont="1" applyBorder="1" applyAlignment="1" applyProtection="1">
      <alignment vertical="center"/>
      <protection locked="0"/>
    </xf>
    <xf numFmtId="0" fontId="49" fillId="2" borderId="0" xfId="0" applyFont="1" applyFill="1" applyAlignment="1">
      <alignment horizontal="center"/>
    </xf>
    <xf numFmtId="0" fontId="42" fillId="0" borderId="31" xfId="0" applyFont="1" applyBorder="1" applyAlignment="1" applyProtection="1">
      <alignment vertical="top" wrapText="1"/>
      <protection locked="0"/>
    </xf>
    <xf numFmtId="0" fontId="42" fillId="0" borderId="30" xfId="0" applyFont="1" applyBorder="1" applyAlignment="1" applyProtection="1">
      <alignment vertical="top" wrapText="1"/>
      <protection locked="0"/>
    </xf>
    <xf numFmtId="0" fontId="42" fillId="0" borderId="29" xfId="0" applyFont="1" applyBorder="1" applyProtection="1">
      <protection locked="0"/>
    </xf>
    <xf numFmtId="0" fontId="41" fillId="0" borderId="30" xfId="0" applyFont="1" applyBorder="1" applyProtection="1">
      <protection locked="0"/>
    </xf>
    <xf numFmtId="0" fontId="42" fillId="0" borderId="32" xfId="0" applyFont="1" applyBorder="1" applyProtection="1">
      <protection locked="0"/>
    </xf>
    <xf numFmtId="0" fontId="41" fillId="0" borderId="33" xfId="0" applyFont="1" applyBorder="1" applyProtection="1">
      <protection locked="0"/>
    </xf>
    <xf numFmtId="0" fontId="42" fillId="0" borderId="32" xfId="0" applyFont="1" applyBorder="1" applyAlignment="1" applyProtection="1">
      <alignment horizontal="center"/>
      <protection locked="0"/>
    </xf>
    <xf numFmtId="0" fontId="41" fillId="0" borderId="33" xfId="0" applyFont="1" applyBorder="1" applyAlignment="1" applyProtection="1">
      <alignment horizontal="center"/>
      <protection locked="0"/>
    </xf>
    <xf numFmtId="0" fontId="5" fillId="2" borderId="0" xfId="16" applyFont="1" applyFill="1" applyAlignment="1">
      <alignment horizontal="center"/>
    </xf>
    <xf numFmtId="0" fontId="5" fillId="2" borderId="0" xfId="16" applyFont="1" applyFill="1" applyAlignment="1">
      <alignment horizontal="left" vertical="top" wrapText="1"/>
    </xf>
    <xf numFmtId="0" fontId="42" fillId="0" borderId="29" xfId="0" applyFont="1" applyBorder="1" applyAlignment="1" applyProtection="1">
      <alignment horizontal="left" indent="1"/>
      <protection locked="0"/>
    </xf>
    <xf numFmtId="0" fontId="42" fillId="0" borderId="31" xfId="0" applyFont="1" applyBorder="1" applyAlignment="1" applyProtection="1">
      <alignment horizontal="left" indent="1"/>
      <protection locked="0"/>
    </xf>
    <xf numFmtId="0" fontId="42" fillId="0" borderId="30" xfId="0" applyFont="1" applyBorder="1" applyAlignment="1" applyProtection="1">
      <alignment horizontal="left" indent="1"/>
      <protection locked="0"/>
    </xf>
    <xf numFmtId="0" fontId="42" fillId="0" borderId="30" xfId="0" applyFont="1" applyBorder="1" applyAlignment="1" applyProtection="1">
      <alignment horizontal="center"/>
      <protection locked="0"/>
    </xf>
    <xf numFmtId="0" fontId="42" fillId="2" borderId="91" xfId="18" applyFont="1" applyFill="1" applyBorder="1" applyAlignment="1" applyProtection="1">
      <alignment horizontal="center"/>
      <protection locked="0"/>
    </xf>
    <xf numFmtId="0" fontId="42" fillId="2" borderId="91" xfId="18" applyFont="1" applyFill="1" applyBorder="1" applyAlignment="1" applyProtection="1">
      <alignment horizontal="center" wrapText="1"/>
      <protection locked="0"/>
    </xf>
    <xf numFmtId="0" fontId="42" fillId="0" borderId="34" xfId="0" applyFont="1" applyBorder="1" applyAlignment="1" applyProtection="1">
      <alignment horizontal="left"/>
      <protection locked="0"/>
    </xf>
    <xf numFmtId="0" fontId="42" fillId="0" borderId="37" xfId="0" applyFont="1" applyBorder="1" applyAlignment="1" applyProtection="1">
      <alignment horizontal="left"/>
      <protection locked="0"/>
    </xf>
    <xf numFmtId="0" fontId="42" fillId="0" borderId="35" xfId="0" applyFont="1" applyBorder="1" applyAlignment="1" applyProtection="1">
      <alignment horizontal="left"/>
      <protection locked="0"/>
    </xf>
    <xf numFmtId="0" fontId="42" fillId="0" borderId="29" xfId="0" applyFont="1" applyBorder="1" applyAlignment="1" applyProtection="1">
      <alignment horizontal="left"/>
      <protection locked="0"/>
    </xf>
    <xf numFmtId="0" fontId="42" fillId="0" borderId="31" xfId="0" applyFont="1" applyBorder="1" applyAlignment="1" applyProtection="1">
      <alignment horizontal="left"/>
      <protection locked="0"/>
    </xf>
    <xf numFmtId="0" fontId="42" fillId="0" borderId="30" xfId="0" applyFont="1" applyBorder="1" applyAlignment="1" applyProtection="1">
      <alignment horizontal="left"/>
      <protection locked="0"/>
    </xf>
    <xf numFmtId="0" fontId="42" fillId="0" borderId="32" xfId="0" applyFont="1" applyBorder="1" applyAlignment="1" applyProtection="1">
      <alignment horizontal="left"/>
      <protection locked="0"/>
    </xf>
    <xf numFmtId="0" fontId="42" fillId="0" borderId="36" xfId="0" applyFont="1" applyBorder="1" applyAlignment="1" applyProtection="1">
      <alignment horizontal="left"/>
      <protection locked="0"/>
    </xf>
    <xf numFmtId="0" fontId="42" fillId="0" borderId="33" xfId="0" applyFont="1" applyBorder="1" applyAlignment="1" applyProtection="1">
      <alignment horizontal="left"/>
      <protection locked="0"/>
    </xf>
    <xf numFmtId="0" fontId="82" fillId="19" borderId="5" xfId="0" applyFont="1" applyFill="1" applyBorder="1" applyAlignment="1">
      <alignment horizontal="center"/>
    </xf>
    <xf numFmtId="0" fontId="53" fillId="19" borderId="72" xfId="0" applyFont="1" applyFill="1" applyBorder="1" applyAlignment="1">
      <alignment horizontal="center"/>
    </xf>
    <xf numFmtId="0" fontId="81" fillId="3" borderId="77" xfId="0" applyFont="1" applyFill="1" applyBorder="1" applyAlignment="1">
      <alignment horizontal="left"/>
    </xf>
    <xf numFmtId="0" fontId="81" fillId="3" borderId="78" xfId="0" applyFont="1" applyFill="1" applyBorder="1" applyAlignment="1">
      <alignment horizontal="left"/>
    </xf>
    <xf numFmtId="0" fontId="85" fillId="19" borderId="77" xfId="0" applyFont="1" applyFill="1" applyBorder="1" applyAlignment="1">
      <alignment horizontal="center"/>
    </xf>
    <xf numFmtId="0" fontId="85" fillId="19" borderId="68" xfId="0" applyFont="1" applyFill="1" applyBorder="1" applyAlignment="1">
      <alignment horizontal="center"/>
    </xf>
    <xf numFmtId="0" fontId="85" fillId="19" borderId="78" xfId="0" applyFont="1" applyFill="1" applyBorder="1" applyAlignment="1">
      <alignment horizontal="center"/>
    </xf>
    <xf numFmtId="0" fontId="56" fillId="19" borderId="77" xfId="0" applyFont="1" applyFill="1" applyBorder="1" applyAlignment="1">
      <alignment horizontal="center" vertical="center"/>
    </xf>
    <xf numFmtId="0" fontId="56" fillId="19" borderId="78" xfId="0" applyFont="1" applyFill="1" applyBorder="1" applyAlignment="1">
      <alignment horizontal="center" vertical="center"/>
    </xf>
    <xf numFmtId="0" fontId="81" fillId="3" borderId="66" xfId="0" applyFont="1" applyFill="1" applyBorder="1" applyProtection="1">
      <protection locked="0"/>
    </xf>
    <xf numFmtId="0" fontId="56" fillId="19" borderId="66" xfId="0" applyFont="1" applyFill="1" applyBorder="1" applyAlignment="1">
      <alignment horizontal="center"/>
    </xf>
    <xf numFmtId="0" fontId="43" fillId="3" borderId="77" xfId="0" applyFont="1" applyFill="1" applyBorder="1" applyProtection="1">
      <protection locked="0"/>
    </xf>
    <xf numFmtId="0" fontId="43" fillId="3" borderId="68" xfId="0" applyFont="1" applyFill="1" applyBorder="1" applyProtection="1">
      <protection locked="0"/>
    </xf>
    <xf numFmtId="0" fontId="43" fillId="3" borderId="78" xfId="0" applyFont="1" applyFill="1" applyBorder="1" applyProtection="1">
      <protection locked="0"/>
    </xf>
    <xf numFmtId="0" fontId="81" fillId="3" borderId="77" xfId="0" applyFont="1" applyFill="1" applyBorder="1"/>
    <xf numFmtId="0" fontId="81" fillId="3" borderId="78" xfId="0" applyFont="1" applyFill="1" applyBorder="1"/>
    <xf numFmtId="0" fontId="81" fillId="3" borderId="77" xfId="0" applyFont="1" applyFill="1" applyBorder="1" applyProtection="1">
      <protection locked="0"/>
    </xf>
    <xf numFmtId="0" fontId="81" fillId="3" borderId="68" xfId="0" applyFont="1" applyFill="1" applyBorder="1" applyProtection="1">
      <protection locked="0"/>
    </xf>
    <xf numFmtId="0" fontId="81" fillId="3" borderId="78" xfId="0" applyFont="1" applyFill="1" applyBorder="1" applyProtection="1">
      <protection locked="0"/>
    </xf>
    <xf numFmtId="0" fontId="81" fillId="3" borderId="66" xfId="0" applyFont="1" applyFill="1" applyBorder="1"/>
    <xf numFmtId="0" fontId="81" fillId="3" borderId="66" xfId="0" applyFont="1" applyFill="1" applyBorder="1" applyAlignment="1" applyProtection="1">
      <alignment horizontal="left"/>
      <protection locked="0"/>
    </xf>
    <xf numFmtId="0" fontId="85" fillId="19" borderId="114" xfId="0" applyFont="1" applyFill="1" applyBorder="1" applyAlignment="1">
      <alignment horizontal="center"/>
    </xf>
    <xf numFmtId="0" fontId="85" fillId="19" borderId="115" xfId="0" applyFont="1" applyFill="1" applyBorder="1" applyAlignment="1">
      <alignment horizontal="center"/>
    </xf>
    <xf numFmtId="0" fontId="85" fillId="19" borderId="116" xfId="0" applyFont="1" applyFill="1" applyBorder="1" applyAlignment="1">
      <alignment horizontal="center"/>
    </xf>
    <xf numFmtId="0" fontId="50" fillId="2" borderId="0" xfId="0" applyFont="1" applyFill="1" applyAlignment="1">
      <alignment horizontal="center" vertical="center" wrapText="1"/>
    </xf>
    <xf numFmtId="164" fontId="3" fillId="0" borderId="23" xfId="5" applyNumberFormat="1" applyBorder="1" applyAlignment="1" applyProtection="1">
      <alignment horizontal="left" vertical="top" wrapText="1"/>
      <protection locked="0"/>
    </xf>
    <xf numFmtId="164" fontId="3" fillId="0" borderId="24" xfId="5" applyNumberFormat="1" applyBorder="1" applyAlignment="1" applyProtection="1">
      <alignment horizontal="left" vertical="top" wrapText="1"/>
      <protection locked="0"/>
    </xf>
    <xf numFmtId="164" fontId="3" fillId="0" borderId="25" xfId="5" applyNumberFormat="1" applyBorder="1" applyAlignment="1" applyProtection="1">
      <alignment horizontal="left" vertical="top" wrapText="1"/>
      <protection locked="0"/>
    </xf>
    <xf numFmtId="164" fontId="3" fillId="0" borderId="1" xfId="5" applyNumberFormat="1" applyBorder="1" applyAlignment="1" applyProtection="1">
      <alignment horizontal="left" vertical="top" wrapText="1"/>
      <protection locked="0"/>
    </xf>
    <xf numFmtId="164" fontId="3" fillId="0" borderId="0" xfId="5" applyNumberFormat="1" applyAlignment="1" applyProtection="1">
      <alignment horizontal="left" vertical="top" wrapText="1"/>
      <protection locked="0"/>
    </xf>
    <xf numFmtId="164" fontId="3" fillId="0" borderId="12" xfId="5" applyNumberFormat="1" applyBorder="1" applyAlignment="1" applyProtection="1">
      <alignment horizontal="left" vertical="top" wrapText="1"/>
      <protection locked="0"/>
    </xf>
    <xf numFmtId="164" fontId="3" fillId="0" borderId="94" xfId="5" applyNumberFormat="1" applyBorder="1" applyAlignment="1" applyProtection="1">
      <alignment horizontal="left" vertical="top" wrapText="1"/>
      <protection locked="0"/>
    </xf>
    <xf numFmtId="164" fontId="3" fillId="0" borderId="2" xfId="5" applyNumberFormat="1" applyBorder="1" applyAlignment="1" applyProtection="1">
      <alignment horizontal="left" vertical="top" wrapText="1"/>
      <protection locked="0"/>
    </xf>
    <xf numFmtId="164" fontId="3" fillId="0" borderId="3" xfId="5" applyNumberFormat="1" applyBorder="1" applyAlignment="1" applyProtection="1">
      <alignment horizontal="left" vertical="top" wrapText="1"/>
      <protection locked="0"/>
    </xf>
    <xf numFmtId="164" fontId="3" fillId="0" borderId="4" xfId="5" applyNumberFormat="1" applyBorder="1" applyAlignment="1" applyProtection="1">
      <alignment horizontal="left" vertical="top" wrapText="1"/>
      <protection locked="0"/>
    </xf>
    <xf numFmtId="0" fontId="4" fillId="0" borderId="23" xfId="5" applyFont="1" applyBorder="1" applyAlignment="1" applyProtection="1">
      <alignment horizontal="left" vertical="top" wrapText="1"/>
      <protection locked="0"/>
    </xf>
    <xf numFmtId="0" fontId="4" fillId="0" borderId="24" xfId="5" applyFont="1" applyBorder="1" applyAlignment="1" applyProtection="1">
      <alignment horizontal="left" vertical="top" wrapText="1"/>
      <protection locked="0"/>
    </xf>
    <xf numFmtId="0" fontId="4" fillId="0" borderId="25" xfId="5" applyFont="1" applyBorder="1" applyAlignment="1" applyProtection="1">
      <alignment horizontal="left" vertical="top" wrapText="1"/>
      <protection locked="0"/>
    </xf>
    <xf numFmtId="0" fontId="4" fillId="0" borderId="1" xfId="5" applyFont="1" applyBorder="1" applyAlignment="1" applyProtection="1">
      <alignment horizontal="left" vertical="top" wrapText="1"/>
      <protection locked="0"/>
    </xf>
    <xf numFmtId="0" fontId="4" fillId="0" borderId="0" xfId="5" applyFont="1" applyAlignment="1" applyProtection="1">
      <alignment horizontal="left" vertical="top" wrapText="1"/>
      <protection locked="0"/>
    </xf>
    <xf numFmtId="0" fontId="4" fillId="0" borderId="12" xfId="5" applyFont="1" applyBorder="1" applyAlignment="1" applyProtection="1">
      <alignment horizontal="left" vertical="top" wrapText="1"/>
      <protection locked="0"/>
    </xf>
    <xf numFmtId="0" fontId="4" fillId="0" borderId="2" xfId="5" applyFont="1" applyBorder="1" applyAlignment="1" applyProtection="1">
      <alignment horizontal="left" vertical="top" wrapText="1"/>
      <protection locked="0"/>
    </xf>
    <xf numFmtId="0" fontId="4" fillId="0" borderId="3" xfId="5" applyFont="1" applyBorder="1" applyAlignment="1" applyProtection="1">
      <alignment horizontal="left" vertical="top" wrapText="1"/>
      <protection locked="0"/>
    </xf>
    <xf numFmtId="0" fontId="4" fillId="0" borderId="4" xfId="5" applyFont="1" applyBorder="1" applyAlignment="1" applyProtection="1">
      <alignment horizontal="left" vertical="top" wrapText="1"/>
      <protection locked="0"/>
    </xf>
    <xf numFmtId="0" fontId="10" fillId="2" borderId="23" xfId="5" applyFont="1" applyFill="1" applyBorder="1" applyAlignment="1">
      <alignment horizontal="left" vertical="top" wrapText="1"/>
    </xf>
    <xf numFmtId="0" fontId="10" fillId="2" borderId="24" xfId="5" applyFont="1" applyFill="1" applyBorder="1" applyAlignment="1">
      <alignment horizontal="left" vertical="top" wrapText="1"/>
    </xf>
    <xf numFmtId="0" fontId="10" fillId="2" borderId="25" xfId="5" applyFont="1" applyFill="1" applyBorder="1" applyAlignment="1">
      <alignment horizontal="left" vertical="top" wrapText="1"/>
    </xf>
    <xf numFmtId="0" fontId="10" fillId="2" borderId="1" xfId="5" applyFont="1" applyFill="1" applyBorder="1" applyAlignment="1">
      <alignment horizontal="left" vertical="top" wrapText="1"/>
    </xf>
    <xf numFmtId="0" fontId="10" fillId="2" borderId="0" xfId="5" applyFont="1" applyFill="1" applyAlignment="1">
      <alignment horizontal="left" vertical="top" wrapText="1"/>
    </xf>
    <xf numFmtId="0" fontId="10" fillId="2" borderId="12" xfId="5" applyFont="1" applyFill="1" applyBorder="1" applyAlignment="1">
      <alignment horizontal="left" vertical="top" wrapText="1"/>
    </xf>
    <xf numFmtId="0" fontId="10" fillId="2" borderId="2" xfId="5" applyFont="1" applyFill="1" applyBorder="1" applyAlignment="1">
      <alignment horizontal="left" vertical="top" wrapText="1"/>
    </xf>
    <xf numFmtId="0" fontId="10" fillId="2" borderId="3" xfId="5" applyFont="1" applyFill="1" applyBorder="1" applyAlignment="1">
      <alignment horizontal="left" vertical="top" wrapText="1"/>
    </xf>
    <xf numFmtId="0" fontId="10" fillId="2" borderId="4" xfId="5" applyFont="1" applyFill="1" applyBorder="1" applyAlignment="1">
      <alignment horizontal="left" vertical="top" wrapText="1"/>
    </xf>
    <xf numFmtId="0" fontId="37" fillId="2" borderId="0" xfId="5" applyFont="1" applyFill="1" applyAlignment="1">
      <alignment horizontal="center" wrapText="1"/>
    </xf>
    <xf numFmtId="0" fontId="12" fillId="2" borderId="0" xfId="5" applyFont="1" applyFill="1" applyAlignment="1">
      <alignment horizontal="center"/>
    </xf>
    <xf numFmtId="0" fontId="23" fillId="2" borderId="0" xfId="5" applyFont="1" applyFill="1" applyAlignment="1">
      <alignment horizontal="center" wrapText="1"/>
    </xf>
    <xf numFmtId="0" fontId="5" fillId="2" borderId="0" xfId="5" applyFont="1" applyFill="1" applyAlignment="1">
      <alignment horizontal="center"/>
    </xf>
    <xf numFmtId="0" fontId="4" fillId="2" borderId="0" xfId="5" applyFont="1" applyFill="1" applyAlignment="1">
      <alignment horizontal="center"/>
    </xf>
    <xf numFmtId="164" fontId="10" fillId="2" borderId="38" xfId="0" applyNumberFormat="1" applyFont="1" applyFill="1" applyBorder="1" applyAlignment="1">
      <alignment horizontal="right"/>
    </xf>
    <xf numFmtId="164" fontId="10" fillId="2" borderId="39" xfId="0" applyNumberFormat="1" applyFont="1" applyFill="1" applyBorder="1" applyAlignment="1">
      <alignment horizontal="right"/>
    </xf>
    <xf numFmtId="164" fontId="10" fillId="2" borderId="40" xfId="0" applyNumberFormat="1" applyFont="1" applyFill="1" applyBorder="1" applyAlignment="1">
      <alignment horizontal="right"/>
    </xf>
    <xf numFmtId="0" fontId="0" fillId="0" borderId="24" xfId="0" applyBorder="1"/>
    <xf numFmtId="0" fontId="0" fillId="0" borderId="25" xfId="0" applyBorder="1"/>
    <xf numFmtId="0" fontId="0" fillId="0" borderId="1" xfId="0" applyBorder="1"/>
    <xf numFmtId="0" fontId="0" fillId="0" borderId="0" xfId="0"/>
    <xf numFmtId="0" fontId="0" fillId="0" borderId="12" xfId="0" applyBorder="1"/>
    <xf numFmtId="0" fontId="0" fillId="0" borderId="2" xfId="0" applyBorder="1"/>
    <xf numFmtId="0" fontId="0" fillId="0" borderId="3" xfId="0" applyBorder="1"/>
    <xf numFmtId="0" fontId="0" fillId="0" borderId="4" xfId="0" applyBorder="1"/>
    <xf numFmtId="0" fontId="5" fillId="2" borderId="0" xfId="5" applyFont="1" applyFill="1" applyAlignment="1">
      <alignment horizontal="left" vertical="top" wrapText="1" indent="1"/>
    </xf>
    <xf numFmtId="0" fontId="4" fillId="3" borderId="23" xfId="5" applyFont="1" applyFill="1" applyBorder="1" applyAlignment="1" applyProtection="1">
      <alignment horizontal="left" vertical="top" wrapText="1"/>
      <protection locked="0"/>
    </xf>
    <xf numFmtId="0" fontId="4" fillId="3" borderId="24" xfId="5" applyFont="1" applyFill="1" applyBorder="1" applyAlignment="1" applyProtection="1">
      <alignment horizontal="left" vertical="top" wrapText="1"/>
      <protection locked="0"/>
    </xf>
    <xf numFmtId="0" fontId="4" fillId="3" borderId="25" xfId="5" applyFont="1" applyFill="1" applyBorder="1" applyAlignment="1" applyProtection="1">
      <alignment horizontal="left" vertical="top" wrapText="1"/>
      <protection locked="0"/>
    </xf>
    <xf numFmtId="0" fontId="4" fillId="3" borderId="1" xfId="5" applyFont="1" applyFill="1" applyBorder="1" applyAlignment="1" applyProtection="1">
      <alignment horizontal="left" vertical="top" wrapText="1"/>
      <protection locked="0"/>
    </xf>
    <xf numFmtId="0" fontId="4" fillId="3" borderId="0" xfId="5" applyFont="1" applyFill="1" applyAlignment="1" applyProtection="1">
      <alignment horizontal="left" vertical="top" wrapText="1"/>
      <protection locked="0"/>
    </xf>
    <xf numFmtId="0" fontId="4" fillId="3" borderId="12" xfId="5" applyFont="1" applyFill="1" applyBorder="1" applyAlignment="1" applyProtection="1">
      <alignment horizontal="left" vertical="top" wrapText="1"/>
      <protection locked="0"/>
    </xf>
    <xf numFmtId="0" fontId="4" fillId="3" borderId="2" xfId="5" applyFont="1" applyFill="1" applyBorder="1" applyAlignment="1" applyProtection="1">
      <alignment horizontal="left" vertical="top" wrapText="1"/>
      <protection locked="0"/>
    </xf>
    <xf numFmtId="0" fontId="4" fillId="3" borderId="3" xfId="5" applyFont="1" applyFill="1" applyBorder="1" applyAlignment="1" applyProtection="1">
      <alignment horizontal="left" vertical="top" wrapText="1"/>
      <protection locked="0"/>
    </xf>
    <xf numFmtId="0" fontId="4" fillId="3" borderId="4" xfId="5" applyFont="1" applyFill="1" applyBorder="1" applyAlignment="1" applyProtection="1">
      <alignment horizontal="left" vertical="top" wrapText="1"/>
      <protection locked="0"/>
    </xf>
    <xf numFmtId="0" fontId="23" fillId="2" borderId="0" xfId="5" applyFont="1" applyFill="1" applyAlignment="1">
      <alignment horizontal="left" wrapText="1"/>
    </xf>
    <xf numFmtId="0" fontId="37" fillId="2" borderId="0" xfId="5" applyFont="1" applyFill="1" applyAlignment="1">
      <alignment horizontal="center" vertical="center" wrapText="1"/>
    </xf>
    <xf numFmtId="0" fontId="57" fillId="2" borderId="0" xfId="9" applyFont="1" applyFill="1" applyAlignment="1">
      <alignment horizontal="center"/>
    </xf>
    <xf numFmtId="0" fontId="41" fillId="2" borderId="0" xfId="9" applyFont="1" applyFill="1" applyAlignment="1">
      <alignment horizontal="center" vertical="top" wrapText="1"/>
    </xf>
    <xf numFmtId="6" fontId="41" fillId="2" borderId="0" xfId="12" applyNumberFormat="1" applyFont="1" applyFill="1" applyAlignment="1">
      <alignment horizontal="right"/>
    </xf>
    <xf numFmtId="8" fontId="37" fillId="2" borderId="0" xfId="2" applyFont="1" applyFill="1" applyBorder="1" applyAlignment="1" applyProtection="1">
      <alignment horizontal="center"/>
    </xf>
    <xf numFmtId="164" fontId="6" fillId="0" borderId="29" xfId="0" applyNumberFormat="1" applyFont="1" applyBorder="1" applyAlignment="1" applyProtection="1">
      <alignment horizontal="left"/>
      <protection locked="0"/>
    </xf>
    <xf numFmtId="164" fontId="6" fillId="0" borderId="30" xfId="0" applyNumberFormat="1" applyFont="1" applyBorder="1" applyAlignment="1" applyProtection="1">
      <alignment horizontal="left"/>
      <protection locked="0"/>
    </xf>
    <xf numFmtId="164" fontId="6" fillId="2" borderId="29" xfId="0" applyNumberFormat="1" applyFont="1" applyFill="1" applyBorder="1" applyAlignment="1">
      <alignment horizontal="left"/>
    </xf>
    <xf numFmtId="164" fontId="6" fillId="2" borderId="30" xfId="0" applyNumberFormat="1" applyFont="1" applyFill="1" applyBorder="1" applyAlignment="1">
      <alignment horizontal="left"/>
    </xf>
    <xf numFmtId="164" fontId="6" fillId="0" borderId="31" xfId="0" applyNumberFormat="1" applyFont="1" applyBorder="1" applyAlignment="1" applyProtection="1">
      <alignment horizontal="left"/>
      <protection locked="0"/>
    </xf>
    <xf numFmtId="164" fontId="10" fillId="2" borderId="38" xfId="0" applyNumberFormat="1" applyFont="1" applyFill="1" applyBorder="1" applyAlignment="1">
      <alignment horizontal="center"/>
    </xf>
    <xf numFmtId="164" fontId="10" fillId="2" borderId="39" xfId="0" applyNumberFormat="1" applyFont="1" applyFill="1" applyBorder="1" applyAlignment="1">
      <alignment horizontal="center"/>
    </xf>
    <xf numFmtId="164" fontId="10" fillId="2" borderId="40" xfId="0" applyNumberFormat="1" applyFont="1" applyFill="1" applyBorder="1" applyAlignment="1">
      <alignment horizontal="center"/>
    </xf>
    <xf numFmtId="10" fontId="6" fillId="2" borderId="52" xfId="7" applyNumberFormat="1" applyFont="1" applyFill="1" applyBorder="1" applyAlignment="1" applyProtection="1">
      <alignment horizontal="center"/>
    </xf>
    <xf numFmtId="10" fontId="6" fillId="2" borderId="43" xfId="7" applyNumberFormat="1" applyFont="1" applyFill="1" applyBorder="1" applyAlignment="1" applyProtection="1">
      <alignment horizontal="center"/>
    </xf>
    <xf numFmtId="10" fontId="6" fillId="2" borderId="42" xfId="7" applyNumberFormat="1" applyFont="1" applyFill="1" applyBorder="1" applyAlignment="1" applyProtection="1">
      <alignment horizontal="center"/>
    </xf>
    <xf numFmtId="10" fontId="6" fillId="2" borderId="53" xfId="7" applyNumberFormat="1" applyFont="1" applyFill="1" applyBorder="1" applyAlignment="1" applyProtection="1">
      <alignment horizontal="center"/>
    </xf>
    <xf numFmtId="0" fontId="21" fillId="2" borderId="23" xfId="5" applyFont="1" applyFill="1" applyBorder="1" applyAlignment="1">
      <alignment horizontal="left" vertical="top" wrapText="1" indent="1"/>
    </xf>
    <xf numFmtId="0" fontId="21" fillId="2" borderId="24" xfId="5" applyFont="1" applyFill="1" applyBorder="1" applyAlignment="1">
      <alignment horizontal="left" vertical="top" wrapText="1" indent="1"/>
    </xf>
    <xf numFmtId="0" fontId="21" fillId="2" borderId="25" xfId="5" applyFont="1" applyFill="1" applyBorder="1" applyAlignment="1">
      <alignment horizontal="left" vertical="top" wrapText="1" indent="1"/>
    </xf>
    <xf numFmtId="0" fontId="21" fillId="2" borderId="112" xfId="5" applyFont="1" applyFill="1" applyBorder="1" applyAlignment="1">
      <alignment horizontal="left" vertical="top" wrapText="1" indent="1"/>
    </xf>
    <xf numFmtId="0" fontId="21" fillId="2" borderId="5" xfId="5" applyFont="1" applyFill="1" applyBorder="1" applyAlignment="1">
      <alignment horizontal="left" vertical="top" wrapText="1" indent="1"/>
    </xf>
    <xf numFmtId="0" fontId="21" fillId="2" borderId="113" xfId="5" applyFont="1" applyFill="1" applyBorder="1" applyAlignment="1">
      <alignment horizontal="left" vertical="top" wrapText="1" indent="1"/>
    </xf>
    <xf numFmtId="0" fontId="5" fillId="2" borderId="0" xfId="5" applyFont="1" applyFill="1" applyAlignment="1">
      <alignment horizontal="left" vertical="top" wrapText="1"/>
    </xf>
    <xf numFmtId="0" fontId="37" fillId="2" borderId="0" xfId="5" applyFont="1" applyFill="1" applyAlignment="1">
      <alignment horizontal="left" wrapText="1" indent="1"/>
    </xf>
    <xf numFmtId="0" fontId="4" fillId="2" borderId="0" xfId="5" applyFont="1" applyFill="1" applyAlignment="1">
      <alignment horizontal="left" wrapText="1" indent="1"/>
    </xf>
    <xf numFmtId="0" fontId="0" fillId="19" borderId="23" xfId="0" applyFill="1" applyBorder="1" applyAlignment="1">
      <alignment vertical="top" wrapText="1"/>
    </xf>
    <xf numFmtId="0" fontId="0" fillId="19" borderId="24" xfId="0" applyFill="1" applyBorder="1" applyAlignment="1">
      <alignment vertical="top" wrapText="1"/>
    </xf>
    <xf numFmtId="0" fontId="0" fillId="19" borderId="25" xfId="0" applyFill="1" applyBorder="1" applyAlignment="1">
      <alignment vertical="top" wrapText="1"/>
    </xf>
    <xf numFmtId="0" fontId="0" fillId="19" borderId="95" xfId="0" applyFill="1" applyBorder="1" applyAlignment="1">
      <alignment vertical="top" wrapText="1"/>
    </xf>
    <xf numFmtId="0" fontId="0" fillId="19" borderId="96" xfId="0" applyFill="1" applyBorder="1" applyAlignment="1">
      <alignment vertical="top" wrapText="1"/>
    </xf>
    <xf numFmtId="0" fontId="0" fillId="19" borderId="97" xfId="0" applyFill="1" applyBorder="1" applyAlignment="1">
      <alignment vertical="top" wrapText="1"/>
    </xf>
    <xf numFmtId="0" fontId="13" fillId="2" borderId="0" xfId="18" applyFont="1" applyFill="1" applyAlignment="1">
      <alignment horizontal="center" vertical="center" wrapText="1"/>
    </xf>
    <xf numFmtId="0" fontId="12" fillId="3" borderId="79" xfId="18" applyFont="1" applyFill="1" applyBorder="1" applyAlignment="1" applyProtection="1">
      <alignment horizontal="center"/>
      <protection locked="0"/>
    </xf>
    <xf numFmtId="0" fontId="12" fillId="3" borderId="80" xfId="18" applyFont="1" applyFill="1" applyBorder="1" applyAlignment="1" applyProtection="1">
      <alignment horizontal="center"/>
      <protection locked="0"/>
    </xf>
    <xf numFmtId="0" fontId="0" fillId="0" borderId="81" xfId="0" applyBorder="1" applyAlignment="1" applyProtection="1">
      <alignment horizontal="center"/>
      <protection locked="0"/>
    </xf>
    <xf numFmtId="0" fontId="12" fillId="3" borderId="118" xfId="18" applyFont="1" applyFill="1" applyBorder="1" applyAlignment="1" applyProtection="1">
      <alignment horizontal="center"/>
      <protection locked="0"/>
    </xf>
    <xf numFmtId="0" fontId="12" fillId="3" borderId="119" xfId="18" applyFont="1" applyFill="1" applyBorder="1" applyAlignment="1" applyProtection="1">
      <alignment horizontal="center"/>
      <protection locked="0"/>
    </xf>
    <xf numFmtId="0" fontId="0" fillId="0" borderId="120" xfId="0" applyBorder="1" applyAlignment="1" applyProtection="1">
      <alignment horizontal="center"/>
      <protection locked="0"/>
    </xf>
    <xf numFmtId="0" fontId="12" fillId="2" borderId="0" xfId="18" applyFont="1" applyFill="1" applyAlignment="1">
      <alignment horizontal="center"/>
    </xf>
    <xf numFmtId="0" fontId="12" fillId="7" borderId="79" xfId="18" applyFont="1" applyFill="1" applyBorder="1" applyAlignment="1" applyProtection="1">
      <alignment horizontal="center"/>
      <protection locked="0"/>
    </xf>
    <xf numFmtId="0" fontId="12" fillId="7" borderId="80" xfId="18" applyFont="1" applyFill="1" applyBorder="1" applyAlignment="1" applyProtection="1">
      <alignment horizontal="center"/>
      <protection locked="0"/>
    </xf>
    <xf numFmtId="0" fontId="0" fillId="7" borderId="81" xfId="0" applyFill="1" applyBorder="1" applyAlignment="1" applyProtection="1">
      <alignment horizontal="center"/>
      <protection locked="0"/>
    </xf>
    <xf numFmtId="0" fontId="12" fillId="2" borderId="66" xfId="18" applyFont="1" applyFill="1" applyBorder="1" applyAlignment="1">
      <alignment horizontal="center"/>
    </xf>
    <xf numFmtId="49" fontId="39" fillId="6" borderId="0" xfId="18" applyNumberFormat="1" applyFont="1" applyFill="1" applyAlignment="1">
      <alignment horizontal="left"/>
    </xf>
    <xf numFmtId="0" fontId="12" fillId="2" borderId="77" xfId="18" applyFont="1" applyFill="1" applyBorder="1" applyAlignment="1">
      <alignment horizontal="center" vertical="center"/>
    </xf>
    <xf numFmtId="0" fontId="12" fillId="2" borderId="68" xfId="18" applyFont="1" applyFill="1" applyBorder="1" applyAlignment="1">
      <alignment horizontal="center" vertical="center"/>
    </xf>
    <xf numFmtId="0" fontId="0" fillId="0" borderId="78" xfId="0" applyBorder="1" applyAlignment="1">
      <alignment horizontal="center" vertical="center"/>
    </xf>
    <xf numFmtId="0" fontId="12" fillId="3" borderId="79" xfId="18" applyFont="1" applyFill="1" applyBorder="1" applyAlignment="1" applyProtection="1">
      <alignment horizontal="left"/>
      <protection locked="0"/>
    </xf>
    <xf numFmtId="0" fontId="12" fillId="3" borderId="80" xfId="18" applyFont="1" applyFill="1" applyBorder="1" applyAlignment="1" applyProtection="1">
      <alignment horizontal="left"/>
      <protection locked="0"/>
    </xf>
    <xf numFmtId="0" fontId="0" fillId="0" borderId="81" xfId="0" applyBorder="1" applyAlignment="1" applyProtection="1">
      <alignment horizontal="left"/>
      <protection locked="0"/>
    </xf>
    <xf numFmtId="0" fontId="12" fillId="8" borderId="79" xfId="18" applyFont="1" applyFill="1" applyBorder="1" applyAlignment="1" applyProtection="1">
      <alignment horizontal="center"/>
      <protection locked="0"/>
    </xf>
    <xf numFmtId="0" fontId="12" fillId="8" borderId="80" xfId="18" applyFont="1" applyFill="1" applyBorder="1" applyAlignment="1" applyProtection="1">
      <alignment horizontal="center"/>
      <protection locked="0"/>
    </xf>
    <xf numFmtId="0" fontId="0" fillId="8" borderId="81" xfId="0" applyFill="1" applyBorder="1" applyAlignment="1" applyProtection="1">
      <alignment horizontal="center"/>
      <protection locked="0"/>
    </xf>
    <xf numFmtId="0" fontId="12" fillId="9" borderId="79" xfId="18" applyFont="1" applyFill="1" applyBorder="1" applyAlignment="1" applyProtection="1">
      <alignment horizontal="center"/>
      <protection locked="0"/>
    </xf>
    <xf numFmtId="0" fontId="12" fillId="9" borderId="80" xfId="18" applyFont="1" applyFill="1" applyBorder="1" applyAlignment="1" applyProtection="1">
      <alignment horizontal="center"/>
      <protection locked="0"/>
    </xf>
    <xf numFmtId="0" fontId="0" fillId="9" borderId="81" xfId="0" applyFill="1" applyBorder="1" applyAlignment="1" applyProtection="1">
      <alignment horizontal="center"/>
      <protection locked="0"/>
    </xf>
    <xf numFmtId="0" fontId="12" fillId="10" borderId="79" xfId="18" applyFont="1" applyFill="1" applyBorder="1" applyAlignment="1" applyProtection="1">
      <alignment horizontal="center"/>
      <protection locked="0"/>
    </xf>
    <xf numFmtId="0" fontId="12" fillId="10" borderId="80" xfId="18" applyFont="1" applyFill="1" applyBorder="1" applyAlignment="1" applyProtection="1">
      <alignment horizontal="center"/>
      <protection locked="0"/>
    </xf>
    <xf numFmtId="0" fontId="0" fillId="10" borderId="81" xfId="0" applyFill="1" applyBorder="1" applyAlignment="1" applyProtection="1">
      <alignment horizontal="center"/>
      <protection locked="0"/>
    </xf>
    <xf numFmtId="0" fontId="12" fillId="7" borderId="79" xfId="18" applyFont="1" applyFill="1" applyBorder="1" applyAlignment="1" applyProtection="1">
      <alignment horizontal="left"/>
      <protection locked="0"/>
    </xf>
    <xf numFmtId="0" fontId="12" fillId="7" borderId="80" xfId="18" applyFont="1" applyFill="1" applyBorder="1" applyAlignment="1" applyProtection="1">
      <alignment horizontal="left"/>
      <protection locked="0"/>
    </xf>
    <xf numFmtId="0" fontId="0" fillId="7" borderId="81" xfId="0" applyFill="1" applyBorder="1" applyAlignment="1" applyProtection="1">
      <alignment horizontal="left"/>
      <protection locked="0"/>
    </xf>
    <xf numFmtId="38" fontId="35" fillId="2" borderId="0" xfId="1" applyNumberFormat="1" applyFont="1" applyFill="1" applyAlignment="1" applyProtection="1">
      <alignment horizontal="right"/>
    </xf>
    <xf numFmtId="49" fontId="13" fillId="6" borderId="0" xfId="18" applyNumberFormat="1" applyFont="1" applyFill="1" applyAlignment="1">
      <alignment horizontal="left" indent="2"/>
    </xf>
    <xf numFmtId="0" fontId="12" fillId="2" borderId="72" xfId="18" applyFont="1" applyFill="1" applyBorder="1" applyAlignment="1">
      <alignment horizontal="center"/>
    </xf>
    <xf numFmtId="0" fontId="12" fillId="3" borderId="22" xfId="18" applyFont="1" applyFill="1" applyBorder="1" applyAlignment="1" applyProtection="1">
      <alignment horizontal="center"/>
      <protection locked="0"/>
    </xf>
    <xf numFmtId="0" fontId="12" fillId="3" borderId="5" xfId="18" applyFont="1" applyFill="1" applyBorder="1" applyAlignment="1" applyProtection="1">
      <alignment horizontal="center"/>
      <protection locked="0"/>
    </xf>
    <xf numFmtId="0" fontId="12" fillId="3" borderId="20" xfId="18" applyFont="1" applyFill="1" applyBorder="1" applyAlignment="1" applyProtection="1">
      <alignment horizontal="center"/>
      <protection locked="0"/>
    </xf>
    <xf numFmtId="6" fontId="12" fillId="2" borderId="0" xfId="18" applyNumberFormat="1" applyFont="1" applyFill="1" applyAlignment="1">
      <alignment horizontal="left" vertical="top" wrapText="1"/>
    </xf>
    <xf numFmtId="0" fontId="35" fillId="2" borderId="0" xfId="18" applyFont="1" applyFill="1" applyAlignment="1">
      <alignment horizontal="left" wrapText="1"/>
    </xf>
    <xf numFmtId="0" fontId="5" fillId="2" borderId="23" xfId="20" applyFont="1" applyFill="1" applyBorder="1" applyAlignment="1">
      <alignment horizontal="center" vertical="center"/>
    </xf>
    <xf numFmtId="0" fontId="5" fillId="2" borderId="24" xfId="20" applyFont="1" applyFill="1" applyBorder="1" applyAlignment="1">
      <alignment horizontal="center" vertical="center"/>
    </xf>
    <xf numFmtId="0" fontId="5" fillId="2" borderId="25" xfId="20" applyFont="1" applyFill="1" applyBorder="1" applyAlignment="1">
      <alignment horizontal="center" vertical="center"/>
    </xf>
    <xf numFmtId="0" fontId="5" fillId="2" borderId="95" xfId="20" applyFont="1" applyFill="1" applyBorder="1" applyAlignment="1">
      <alignment horizontal="center" vertical="center"/>
    </xf>
    <xf numFmtId="0" fontId="5" fillId="2" borderId="96" xfId="20" applyFont="1" applyFill="1" applyBorder="1" applyAlignment="1">
      <alignment horizontal="center" vertical="center"/>
    </xf>
    <xf numFmtId="0" fontId="5" fillId="2" borderId="97" xfId="20" applyFont="1" applyFill="1" applyBorder="1" applyAlignment="1">
      <alignment horizontal="center" vertical="center"/>
    </xf>
    <xf numFmtId="165" fontId="4" fillId="3" borderId="32" xfId="21" applyNumberFormat="1" applyFont="1" applyFill="1" applyBorder="1" applyAlignment="1" applyProtection="1">
      <alignment horizontal="center"/>
      <protection locked="0"/>
    </xf>
    <xf numFmtId="165" fontId="0" fillId="3" borderId="36" xfId="0" applyNumberFormat="1" applyFill="1" applyBorder="1" applyAlignment="1" applyProtection="1">
      <alignment horizontal="center"/>
      <protection locked="0"/>
    </xf>
    <xf numFmtId="165" fontId="0" fillId="3" borderId="33" xfId="0" applyNumberFormat="1" applyFill="1" applyBorder="1" applyAlignment="1" applyProtection="1">
      <alignment horizontal="center"/>
      <protection locked="0"/>
    </xf>
    <xf numFmtId="165" fontId="0" fillId="3" borderId="34" xfId="0" applyNumberFormat="1" applyFill="1" applyBorder="1" applyAlignment="1" applyProtection="1">
      <alignment horizontal="center"/>
      <protection locked="0"/>
    </xf>
    <xf numFmtId="165" fontId="0" fillId="3" borderId="37" xfId="0" applyNumberFormat="1" applyFill="1" applyBorder="1" applyAlignment="1" applyProtection="1">
      <alignment horizontal="center"/>
      <protection locked="0"/>
    </xf>
    <xf numFmtId="165" fontId="0" fillId="3" borderId="35" xfId="0" applyNumberFormat="1" applyFill="1" applyBorder="1" applyAlignment="1" applyProtection="1">
      <alignment horizontal="center"/>
      <protection locked="0"/>
    </xf>
    <xf numFmtId="165" fontId="41" fillId="3" borderId="32" xfId="0" applyNumberFormat="1" applyFont="1" applyFill="1" applyBorder="1" applyAlignment="1" applyProtection="1">
      <alignment horizontal="center"/>
      <protection locked="0"/>
    </xf>
    <xf numFmtId="165" fontId="41" fillId="3" borderId="36" xfId="0" applyNumberFormat="1" applyFont="1" applyFill="1" applyBorder="1" applyAlignment="1" applyProtection="1">
      <alignment horizontal="center"/>
      <protection locked="0"/>
    </xf>
    <xf numFmtId="165" fontId="41" fillId="3" borderId="33" xfId="0" applyNumberFormat="1" applyFont="1" applyFill="1" applyBorder="1" applyAlignment="1" applyProtection="1">
      <alignment horizontal="center"/>
      <protection locked="0"/>
    </xf>
    <xf numFmtId="165" fontId="41" fillId="3" borderId="34" xfId="0" applyNumberFormat="1" applyFont="1" applyFill="1" applyBorder="1" applyAlignment="1" applyProtection="1">
      <alignment horizontal="center"/>
      <protection locked="0"/>
    </xf>
    <xf numFmtId="165" fontId="41" fillId="3" borderId="37" xfId="0" applyNumberFormat="1" applyFont="1" applyFill="1" applyBorder="1" applyAlignment="1" applyProtection="1">
      <alignment horizontal="center"/>
      <protection locked="0"/>
    </xf>
    <xf numFmtId="165" fontId="41" fillId="3" borderId="35" xfId="0" applyNumberFormat="1" applyFont="1" applyFill="1" applyBorder="1" applyAlignment="1" applyProtection="1">
      <alignment horizontal="center"/>
      <protection locked="0"/>
    </xf>
    <xf numFmtId="38" fontId="6" fillId="3" borderId="22" xfId="9" applyNumberFormat="1" applyFont="1" applyFill="1" applyBorder="1" applyAlignment="1">
      <alignment horizontal="center"/>
    </xf>
    <xf numFmtId="38" fontId="6" fillId="3" borderId="20" xfId="9" applyNumberFormat="1" applyFont="1" applyFill="1" applyBorder="1" applyAlignment="1">
      <alignment horizontal="center"/>
    </xf>
    <xf numFmtId="0" fontId="6" fillId="0" borderId="0" xfId="9" applyFont="1" applyAlignment="1">
      <alignment horizontal="left"/>
    </xf>
    <xf numFmtId="0" fontId="6" fillId="0" borderId="5" xfId="9" applyFont="1" applyBorder="1" applyAlignment="1">
      <alignment horizontal="left"/>
    </xf>
    <xf numFmtId="6" fontId="6" fillId="3" borderId="0" xfId="9" applyNumberFormat="1" applyFont="1" applyFill="1" applyAlignment="1">
      <alignment horizontal="left"/>
    </xf>
    <xf numFmtId="0" fontId="23" fillId="3" borderId="0" xfId="9" applyFont="1" applyFill="1" applyAlignment="1">
      <alignment horizontal="center" vertical="center" wrapText="1"/>
    </xf>
    <xf numFmtId="0" fontId="10" fillId="3" borderId="0" xfId="9" applyFont="1" applyFill="1" applyAlignment="1">
      <alignment horizontal="center"/>
    </xf>
    <xf numFmtId="0" fontId="23" fillId="3" borderId="9" xfId="9" applyFont="1" applyFill="1" applyBorder="1" applyAlignment="1">
      <alignment horizontal="center" wrapText="1"/>
    </xf>
    <xf numFmtId="0" fontId="23" fillId="3" borderId="9" xfId="9" applyFont="1" applyFill="1" applyBorder="1" applyAlignment="1">
      <alignment horizontal="center" vertical="center" wrapText="1"/>
    </xf>
    <xf numFmtId="0" fontId="6" fillId="0" borderId="23" xfId="9" applyFont="1" applyBorder="1" applyAlignment="1">
      <alignment horizontal="center"/>
    </xf>
    <xf numFmtId="0" fontId="6" fillId="0" borderId="135" xfId="9" applyFont="1" applyBorder="1" applyAlignment="1">
      <alignment horizontal="center"/>
    </xf>
    <xf numFmtId="0" fontId="6" fillId="0" borderId="25" xfId="9" applyFont="1" applyBorder="1" applyAlignment="1">
      <alignment horizontal="center"/>
    </xf>
    <xf numFmtId="0" fontId="10" fillId="0" borderId="17" xfId="9" applyFont="1" applyBorder="1" applyAlignment="1">
      <alignment horizontal="center"/>
    </xf>
    <xf numFmtId="0" fontId="10" fillId="0" borderId="18" xfId="9" applyFont="1" applyBorder="1" applyAlignment="1">
      <alignment horizontal="center"/>
    </xf>
    <xf numFmtId="0" fontId="10" fillId="0" borderId="19" xfId="9" applyFont="1" applyBorder="1" applyAlignment="1">
      <alignment horizontal="center"/>
    </xf>
    <xf numFmtId="0" fontId="10" fillId="0" borderId="0" xfId="9" applyFont="1" applyAlignment="1">
      <alignment horizontal="center"/>
    </xf>
    <xf numFmtId="3" fontId="6" fillId="0" borderId="0" xfId="9" applyNumberFormat="1" applyFont="1" applyAlignment="1">
      <alignment horizontal="center"/>
    </xf>
    <xf numFmtId="0" fontId="10" fillId="0" borderId="0" xfId="9" applyFont="1" applyAlignment="1">
      <alignment horizontal="center" vertical="top" wrapText="1"/>
    </xf>
    <xf numFmtId="9" fontId="10" fillId="0" borderId="0" xfId="9" applyNumberFormat="1" applyFont="1" applyAlignment="1">
      <alignment horizontal="center" vertical="top" wrapText="1"/>
    </xf>
    <xf numFmtId="0" fontId="4" fillId="0" borderId="23" xfId="15" applyBorder="1" applyAlignment="1">
      <alignment horizontal="center"/>
    </xf>
    <xf numFmtId="0" fontId="4" fillId="0" borderId="24" xfId="15" applyBorder="1" applyAlignment="1">
      <alignment horizontal="center"/>
    </xf>
    <xf numFmtId="0" fontId="4" fillId="0" borderId="1" xfId="15" applyBorder="1" applyAlignment="1">
      <alignment horizontal="center"/>
    </xf>
    <xf numFmtId="0" fontId="4" fillId="0" borderId="0" xfId="15" applyAlignment="1">
      <alignment horizontal="center"/>
    </xf>
    <xf numFmtId="0" fontId="4" fillId="0" borderId="2" xfId="15" applyBorder="1" applyAlignment="1">
      <alignment horizontal="center"/>
    </xf>
    <xf numFmtId="0" fontId="4" fillId="0" borderId="3" xfId="15" applyBorder="1" applyAlignment="1">
      <alignment horizontal="center"/>
    </xf>
    <xf numFmtId="0" fontId="103" fillId="25" borderId="5" xfId="25" applyFont="1" applyFill="1" applyBorder="1"/>
    <xf numFmtId="0" fontId="103" fillId="32" borderId="23" xfId="25" applyFont="1" applyFill="1" applyBorder="1" applyAlignment="1">
      <alignment horizontal="center"/>
    </xf>
    <xf numFmtId="0" fontId="103" fillId="32" borderId="24" xfId="25" applyFont="1" applyFill="1" applyBorder="1" applyAlignment="1">
      <alignment horizontal="center"/>
    </xf>
    <xf numFmtId="0" fontId="103" fillId="32" borderId="25" xfId="25" applyFont="1" applyFill="1" applyBorder="1" applyAlignment="1">
      <alignment horizontal="center"/>
    </xf>
  </cellXfs>
  <cellStyles count="28">
    <cellStyle name="Comma" xfId="1" builtinId="3"/>
    <cellStyle name="Comma 2" xfId="10" xr:uid="{00000000-0005-0000-0000-000001000000}"/>
    <cellStyle name="Comma 2 2" xfId="19" xr:uid="{00000000-0005-0000-0000-000002000000}"/>
    <cellStyle name="Comma 3" xfId="24" xr:uid="{00000000-0005-0000-0000-000003000000}"/>
    <cellStyle name="Comma 3 2 2" xfId="26" xr:uid="{06CFA12B-C2A8-476D-98AD-DB8620B65FF7}"/>
    <cellStyle name="Comma_Match Calculations" xfId="13" xr:uid="{00000000-0005-0000-0000-000004000000}"/>
    <cellStyle name="Comma_NPV-2004" xfId="22" xr:uid="{00000000-0005-0000-0000-000005000000}"/>
    <cellStyle name="Currency" xfId="2" builtinId="4"/>
    <cellStyle name="Currency 2" xfId="12" xr:uid="{00000000-0005-0000-0000-000007000000}"/>
    <cellStyle name="Currency 2 2" xfId="17" xr:uid="{00000000-0005-0000-0000-000008000000}"/>
    <cellStyle name="Currency_Match Calculations" xfId="14" xr:uid="{00000000-0005-0000-0000-000009000000}"/>
    <cellStyle name="Hyperlink" xfId="3" builtinId="8"/>
    <cellStyle name="Normal" xfId="0" builtinId="0"/>
    <cellStyle name="Normal 2" xfId="9" xr:uid="{00000000-0005-0000-0000-00000C000000}"/>
    <cellStyle name="Normal 2 2" xfId="16" xr:uid="{00000000-0005-0000-0000-00000D000000}"/>
    <cellStyle name="Normal 3 2" xfId="25" xr:uid="{F662AFC2-036E-44B8-9227-4D0C9946E524}"/>
    <cellStyle name="Normal_comp" xfId="21" xr:uid="{00000000-0005-0000-0000-00000E000000}"/>
    <cellStyle name="Normal_Match Calculations" xfId="15" xr:uid="{00000000-0005-0000-0000-00000F000000}"/>
    <cellStyle name="Normal_NPV-2004" xfId="20" xr:uid="{00000000-0005-0000-0000-000010000000}"/>
    <cellStyle name="Normal_SCH I" xfId="4" xr:uid="{00000000-0005-0000-0000-000011000000}"/>
    <cellStyle name="Normal_SCHEDH" xfId="5" xr:uid="{00000000-0005-0000-0000-000012000000}"/>
    <cellStyle name="Normal_TC 2001 Ap. Attachments" xfId="6" xr:uid="{00000000-0005-0000-0000-000013000000}"/>
    <cellStyle name="Normal_TC 2001 Ap. Attachments 2" xfId="18" xr:uid="{00000000-0005-0000-0000-000014000000}"/>
    <cellStyle name="Percent" xfId="7" builtinId="5"/>
    <cellStyle name="Percent 2" xfId="8" xr:uid="{00000000-0005-0000-0000-000016000000}"/>
    <cellStyle name="Percent 3" xfId="11" xr:uid="{00000000-0005-0000-0000-000017000000}"/>
    <cellStyle name="Percent 4" xfId="23" xr:uid="{00000000-0005-0000-0000-000018000000}"/>
    <cellStyle name="Percent 4 2 2" xfId="27" xr:uid="{40FDC457-9E2B-47E0-A86C-8DD323FC440D}"/>
  </cellStyles>
  <dxfs count="166">
    <dxf>
      <fill>
        <patternFill>
          <bgColor rgb="FFFFFF00"/>
        </patternFill>
      </fill>
    </dxf>
    <dxf>
      <fill>
        <patternFill>
          <bgColor rgb="FFFFFF00"/>
        </patternFill>
      </fill>
    </dxf>
    <dxf>
      <fill>
        <patternFill>
          <bgColor rgb="FFFFFF00"/>
        </patternFill>
      </fill>
    </dxf>
    <dxf>
      <font>
        <color theme="0"/>
      </font>
      <fill>
        <patternFill>
          <bgColor theme="0"/>
        </patternFill>
      </fill>
    </dxf>
    <dxf>
      <font>
        <b/>
        <i val="0"/>
        <color rgb="FFFF0000"/>
      </font>
    </dxf>
    <dxf>
      <font>
        <color theme="0"/>
      </font>
      <fill>
        <patternFill>
          <bgColor theme="0"/>
        </patternFill>
      </fill>
      <border>
        <left/>
        <right/>
        <top/>
        <bottom/>
        <vertical/>
        <horizontal/>
      </border>
    </dxf>
    <dxf>
      <fill>
        <patternFill>
          <bgColor rgb="FFFFFF00"/>
        </patternFill>
      </fill>
    </dxf>
    <dxf>
      <border>
        <top style="thin">
          <color auto="1"/>
        </top>
        <vertical/>
        <horizontal/>
      </border>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numFmt numFmtId="6" formatCode="#,##0_);[Red]\(#,##0\)"/>
    </dxf>
    <dxf>
      <numFmt numFmtId="6" formatCode="#,##0_);[Red]\(#,##0\)"/>
      <fill>
        <patternFill patternType="solid">
          <fgColor indexed="64"/>
          <bgColor theme="5" tint="0.59999389629810485"/>
        </patternFill>
      </fill>
    </dxf>
    <dxf>
      <alignment horizontal="center" vertical="bottom" textRotation="0" wrapText="0" indent="0" justifyLastLine="0" shrinkToFit="0" readingOrder="0"/>
    </dxf>
    <dxf>
      <border outline="0">
        <left style="thin">
          <color indexed="64"/>
        </left>
        <right style="thin">
          <color indexed="64"/>
        </right>
      </border>
    </dxf>
    <dxf>
      <alignment horizontal="center" vertical="bottom" textRotation="0" wrapText="1" indent="0" justifyLastLine="0" shrinkToFit="0" readingOrder="0"/>
    </dxf>
    <dxf>
      <numFmt numFmtId="0" formatCode="General"/>
    </dxf>
    <dxf>
      <numFmt numFmtId="0" formatCode="General"/>
    </dxf>
    <dxf>
      <font>
        <b val="0"/>
        <i val="0"/>
        <strike val="0"/>
        <condense val="0"/>
        <extend val="0"/>
        <outline val="0"/>
        <shadow val="0"/>
        <u val="none"/>
        <vertAlign val="baseline"/>
        <sz val="10"/>
        <color auto="1"/>
        <name val="MS Sans Serif"/>
        <scheme val="none"/>
      </font>
      <numFmt numFmtId="6" formatCode="#,##0_);[Red]\(#,##0\)"/>
    </dxf>
    <dxf>
      <numFmt numFmtId="6" formatCode="#,##0_);[Red]\(#,##0\)"/>
    </dxf>
    <dxf>
      <numFmt numFmtId="30" formatCode="@"/>
    </dxf>
    <dxf>
      <numFmt numFmtId="0" formatCode="General"/>
    </dxf>
    <dxf>
      <font>
        <b/>
        <i val="0"/>
        <strike val="0"/>
        <condense val="0"/>
        <extend val="0"/>
        <outline val="0"/>
        <shadow val="0"/>
        <u val="none"/>
        <vertAlign val="baseline"/>
        <sz val="10"/>
        <color auto="1"/>
        <name val="MS Sans Serif"/>
        <scheme val="none"/>
      </font>
      <alignment horizontal="center" vertical="bottom" textRotation="0" wrapText="0" indent="0" justifyLastLine="0" shrinkToFit="0" readingOrder="0"/>
    </dxf>
    <dxf>
      <alignment horizontal="center" vertical="bottom" textRotation="0" wrapText="0" indent="0" justifyLastLine="0" shrinkToFit="0" readingOrder="0"/>
    </dxf>
    <dxf>
      <border outline="0">
        <left style="thin">
          <color indexed="64"/>
        </left>
        <bottom style="thin">
          <color indexed="64"/>
        </bottom>
      </border>
    </dxf>
    <dxf>
      <alignment horizontal="center" vertical="bottom" textRotation="0" wrapText="1" indent="0" justifyLastLine="0" shrinkToFit="0" readingOrder="0"/>
    </dxf>
    <dxf>
      <font>
        <b val="0"/>
        <i val="0"/>
        <strike val="0"/>
        <condense val="0"/>
        <extend val="0"/>
        <outline val="0"/>
        <shadow val="0"/>
        <u val="none"/>
        <vertAlign val="baseline"/>
        <sz val="10"/>
        <color auto="1"/>
        <name val="MS Sans Serif"/>
        <scheme val="none"/>
      </font>
      <numFmt numFmtId="6" formatCode="#,##0_);[Red]\(#,##0\)"/>
      <fill>
        <patternFill patternType="none">
          <fgColor indexed="64"/>
          <bgColor indexed="65"/>
        </patternFill>
      </fill>
    </dxf>
    <dxf>
      <numFmt numFmtId="6" formatCode="#,##0_);[Red]\(#,##0\)"/>
      <fill>
        <patternFill patternType="solid">
          <fgColor indexed="64"/>
          <bgColor theme="5" tint="0.59999389629810485"/>
        </patternFill>
      </fill>
    </dxf>
    <dxf>
      <fill>
        <patternFill patternType="solid">
          <fgColor indexed="64"/>
          <bgColor theme="5" tint="0.59999389629810485"/>
        </patternFill>
      </fill>
    </dxf>
    <dxf>
      <numFmt numFmtId="30" formatCode="@"/>
      <fill>
        <patternFill patternType="solid">
          <fgColor indexed="64"/>
          <bgColor theme="5" tint="0.59999389629810485"/>
        </patternFill>
      </fill>
    </dxf>
    <dxf>
      <fill>
        <patternFill patternType="solid">
          <fgColor indexed="64"/>
          <bgColor theme="5" tint="0.59999389629810485"/>
        </patternFill>
      </fill>
    </dxf>
    <dxf>
      <fill>
        <patternFill patternType="solid">
          <fgColor indexed="64"/>
          <bgColor theme="5" tint="0.59999389629810485"/>
        </patternFill>
      </fill>
    </dxf>
    <dxf>
      <numFmt numFmtId="30" formatCode="@"/>
      <fill>
        <patternFill patternType="solid">
          <fgColor indexed="64"/>
          <bgColor theme="5" tint="0.59999389629810485"/>
        </patternFill>
      </fill>
    </dxf>
    <dxf>
      <fill>
        <patternFill patternType="solid">
          <fgColor indexed="64"/>
          <bgColor theme="5" tint="0.59999389629810485"/>
        </patternFill>
      </fill>
    </dxf>
    <dxf>
      <fill>
        <patternFill patternType="solid">
          <fgColor indexed="64"/>
          <bgColor theme="5" tint="0.59999389629810485"/>
        </patternFill>
      </fill>
      <alignment horizontal="center" vertical="bottom" textRotation="0" wrapText="0" indent="0" justifyLastLine="0" shrinkToFit="0" readingOrder="0"/>
    </dxf>
    <dxf>
      <fill>
        <patternFill patternType="none">
          <fgColor indexed="64"/>
          <bgColor auto="1"/>
        </patternFill>
      </fill>
    </dxf>
    <dxf>
      <border outline="0">
        <left style="thin">
          <color indexed="64"/>
        </left>
        <right style="thin">
          <color indexed="64"/>
        </right>
        <bottom style="thin">
          <color indexed="64"/>
        </bottom>
      </border>
    </dxf>
    <dxf>
      <fill>
        <patternFill patternType="solid">
          <fgColor indexed="64"/>
          <bgColor theme="5" tint="0.59999389629810485"/>
        </patternFill>
      </fill>
    </dxf>
    <dxf>
      <alignment horizontal="center" vertical="bottom" textRotation="0" wrapText="1" indent="0" justifyLastLine="0" shrinkToFit="0" readingOrder="0"/>
    </dxf>
    <dxf>
      <numFmt numFmtId="0" formatCode="General"/>
    </dxf>
    <dxf>
      <font>
        <b val="0"/>
        <i val="0"/>
        <strike val="0"/>
        <condense val="0"/>
        <extend val="0"/>
        <outline val="0"/>
        <shadow val="0"/>
        <u val="none"/>
        <vertAlign val="baseline"/>
        <sz val="10"/>
        <color theme="1"/>
        <name val="MS Sans Serif"/>
        <scheme val="none"/>
      </font>
    </dxf>
    <dxf>
      <font>
        <b val="0"/>
        <i val="0"/>
        <strike val="0"/>
        <condense val="0"/>
        <extend val="0"/>
        <outline val="0"/>
        <shadow val="0"/>
        <u val="none"/>
        <vertAlign val="baseline"/>
        <sz val="10"/>
        <color theme="1"/>
        <name val="MS Sans Serif"/>
        <scheme val="none"/>
      </font>
    </dxf>
    <dxf>
      <font>
        <b val="0"/>
        <i val="0"/>
        <strike val="0"/>
        <condense val="0"/>
        <extend val="0"/>
        <outline val="0"/>
        <shadow val="0"/>
        <u val="none"/>
        <vertAlign val="baseline"/>
        <sz val="10"/>
        <color theme="1"/>
        <name val="MS Sans Serif"/>
        <scheme val="none"/>
      </font>
      <numFmt numFmtId="30" formatCode="@"/>
    </dxf>
    <dxf>
      <font>
        <b val="0"/>
        <i val="0"/>
        <strike val="0"/>
        <condense val="0"/>
        <extend val="0"/>
        <outline val="0"/>
        <shadow val="0"/>
        <u val="none"/>
        <vertAlign val="baseline"/>
        <sz val="10"/>
        <color theme="1"/>
        <name val="MS Sans Serif"/>
        <scheme val="none"/>
      </font>
    </dxf>
    <dxf>
      <font>
        <b val="0"/>
        <i val="0"/>
        <strike val="0"/>
        <condense val="0"/>
        <extend val="0"/>
        <outline val="0"/>
        <shadow val="0"/>
        <u val="none"/>
        <vertAlign val="baseline"/>
        <sz val="10"/>
        <color theme="1"/>
        <name val="MS Sans Serif"/>
        <scheme val="none"/>
      </font>
      <numFmt numFmtId="0" formatCode="General"/>
    </dxf>
    <dxf>
      <font>
        <b val="0"/>
        <i val="0"/>
        <strike val="0"/>
        <condense val="0"/>
        <extend val="0"/>
        <outline val="0"/>
        <shadow val="0"/>
        <u val="none"/>
        <vertAlign val="baseline"/>
        <sz val="10"/>
        <color theme="1"/>
        <name val="MS Sans Serif"/>
        <scheme val="none"/>
      </font>
    </dxf>
    <dxf>
      <font>
        <b/>
        <i val="0"/>
        <strike val="0"/>
        <condense val="0"/>
        <extend val="0"/>
        <outline val="0"/>
        <shadow val="0"/>
        <u val="none"/>
        <vertAlign val="baseline"/>
        <sz val="10"/>
        <color theme="0"/>
        <name val="MS Sans Serif"/>
        <scheme val="none"/>
      </font>
      <fill>
        <patternFill patternType="solid">
          <fgColor theme="1"/>
          <bgColor theme="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MS Sans Serif"/>
        <scheme val="none"/>
      </font>
      <numFmt numFmtId="0" formatCode="General"/>
    </dxf>
    <dxf>
      <font>
        <b val="0"/>
        <i val="0"/>
        <strike val="0"/>
        <condense val="0"/>
        <extend val="0"/>
        <outline val="0"/>
        <shadow val="0"/>
        <u val="none"/>
        <vertAlign val="baseline"/>
        <sz val="10"/>
        <color theme="1"/>
        <name val="MS Sans Serif"/>
        <scheme val="none"/>
      </font>
    </dxf>
    <dxf>
      <font>
        <b val="0"/>
        <i val="0"/>
        <strike val="0"/>
        <condense val="0"/>
        <extend val="0"/>
        <outline val="0"/>
        <shadow val="0"/>
        <u val="none"/>
        <vertAlign val="baseline"/>
        <sz val="10"/>
        <color theme="1"/>
        <name val="MS Sans Serif"/>
        <scheme val="none"/>
      </font>
    </dxf>
    <dxf>
      <font>
        <b val="0"/>
        <i val="0"/>
        <strike val="0"/>
        <condense val="0"/>
        <extend val="0"/>
        <outline val="0"/>
        <shadow val="0"/>
        <u val="none"/>
        <vertAlign val="baseline"/>
        <sz val="10"/>
        <color theme="1"/>
        <name val="MS Sans Serif"/>
        <scheme val="none"/>
      </font>
      <numFmt numFmtId="0" formatCode="General"/>
    </dxf>
    <dxf>
      <font>
        <b val="0"/>
        <i val="0"/>
        <strike val="0"/>
        <condense val="0"/>
        <extend val="0"/>
        <outline val="0"/>
        <shadow val="0"/>
        <u val="none"/>
        <vertAlign val="baseline"/>
        <sz val="10"/>
        <color theme="1"/>
        <name val="MS Sans Serif"/>
        <scheme val="none"/>
      </font>
    </dxf>
    <dxf>
      <font>
        <b val="0"/>
        <i val="0"/>
        <strike val="0"/>
        <condense val="0"/>
        <extend val="0"/>
        <outline val="0"/>
        <shadow val="0"/>
        <u val="none"/>
        <vertAlign val="baseline"/>
        <sz val="10"/>
        <color theme="1"/>
        <name val="MS Sans Serif"/>
        <scheme val="none"/>
      </font>
    </dxf>
    <dxf>
      <font>
        <b val="0"/>
        <i val="0"/>
        <strike val="0"/>
        <condense val="0"/>
        <extend val="0"/>
        <outline val="0"/>
        <shadow val="0"/>
        <u val="none"/>
        <vertAlign val="baseline"/>
        <sz val="10"/>
        <color theme="1"/>
        <name val="MS Sans Serif"/>
        <scheme val="none"/>
      </font>
    </dxf>
    <dxf>
      <font>
        <b/>
        <i val="0"/>
        <strike val="0"/>
        <condense val="0"/>
        <extend val="0"/>
        <outline val="0"/>
        <shadow val="0"/>
        <u val="none"/>
        <vertAlign val="baseline"/>
        <sz val="10"/>
        <color theme="0"/>
        <name val="MS Sans Serif"/>
        <scheme val="none"/>
      </font>
      <fill>
        <patternFill patternType="solid">
          <fgColor theme="1"/>
          <bgColor theme="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MS Sans Serif"/>
        <scheme val="none"/>
      </font>
    </dxf>
    <dxf>
      <font>
        <b/>
        <i val="0"/>
        <strike val="0"/>
        <condense val="0"/>
        <extend val="0"/>
        <outline val="0"/>
        <shadow val="0"/>
        <u val="none"/>
        <vertAlign val="baseline"/>
        <sz val="10"/>
        <color theme="0"/>
        <name val="MS Sans Serif"/>
        <scheme val="none"/>
      </font>
      <fill>
        <patternFill patternType="solid">
          <fgColor theme="1"/>
          <bgColor theme="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MS Sans Serif"/>
        <scheme val="none"/>
      </font>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font>
        <b val="0"/>
        <i val="0"/>
        <strike val="0"/>
        <condense val="0"/>
        <extend val="0"/>
        <outline val="0"/>
        <shadow val="0"/>
        <u val="none"/>
        <vertAlign val="baseline"/>
        <sz val="10"/>
        <color theme="1"/>
        <name val="MS Sans Serif"/>
        <scheme val="none"/>
      </font>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font>
        <b val="0"/>
        <i val="0"/>
        <strike val="0"/>
        <condense val="0"/>
        <extend val="0"/>
        <outline val="0"/>
        <shadow val="0"/>
        <u val="none"/>
        <vertAlign val="baseline"/>
        <sz val="10"/>
        <color theme="1"/>
        <name val="MS Sans Serif"/>
        <scheme val="none"/>
      </font>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font>
        <b val="0"/>
        <i val="0"/>
        <strike val="0"/>
        <condense val="0"/>
        <extend val="0"/>
        <outline val="0"/>
        <shadow val="0"/>
        <u val="none"/>
        <vertAlign val="baseline"/>
        <sz val="10"/>
        <color theme="1"/>
        <name val="MS Sans Serif"/>
        <scheme val="none"/>
      </font>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numFmt numFmtId="0" formatCode="General"/>
    </dxf>
    <dxf>
      <border outline="0">
        <left style="thin">
          <color theme="1"/>
        </left>
        <right style="thin">
          <color theme="1"/>
        </right>
        <top style="thin">
          <color theme="1"/>
        </top>
      </border>
    </dxf>
    <dxf>
      <font>
        <b val="0"/>
        <i val="0"/>
        <strike val="0"/>
        <condense val="0"/>
        <extend val="0"/>
        <outline val="0"/>
        <shadow val="0"/>
        <u val="none"/>
        <vertAlign val="baseline"/>
        <sz val="10"/>
        <color theme="1"/>
        <name val="MS Sans Serif"/>
        <scheme val="none"/>
      </font>
    </dxf>
    <dxf>
      <font>
        <b/>
        <i val="0"/>
        <strike val="0"/>
        <condense val="0"/>
        <extend val="0"/>
        <outline val="0"/>
        <shadow val="0"/>
        <u val="none"/>
        <vertAlign val="baseline"/>
        <sz val="10"/>
        <color theme="0"/>
        <name val="MS Sans Serif"/>
        <scheme val="none"/>
      </font>
      <fill>
        <patternFill patternType="solid">
          <fgColor theme="1"/>
          <bgColor theme="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font>
        <b val="0"/>
        <i val="0"/>
        <strike val="0"/>
        <condense val="0"/>
        <extend val="0"/>
        <outline val="0"/>
        <shadow val="0"/>
        <u val="none"/>
        <vertAlign val="baseline"/>
        <sz val="10"/>
        <color theme="1"/>
        <name val="MS Sans Serif"/>
        <scheme val="none"/>
      </font>
      <border diagonalUp="0" diagonalDown="0">
        <left/>
        <right/>
        <top style="thin">
          <color theme="1"/>
        </top>
        <bottom/>
        <vertical/>
        <horizontal/>
      </border>
    </dxf>
    <dxf>
      <border outline="0">
        <right style="thin">
          <color theme="1"/>
        </right>
        <top style="thin">
          <color theme="1"/>
        </top>
        <bottom style="thin">
          <color theme="1"/>
        </bottom>
      </border>
    </dxf>
    <dxf>
      <font>
        <b val="0"/>
        <i val="0"/>
        <strike val="0"/>
        <condense val="0"/>
        <extend val="0"/>
        <outline val="0"/>
        <shadow val="0"/>
        <u val="none"/>
        <vertAlign val="baseline"/>
        <sz val="10"/>
        <color theme="1"/>
        <name val="MS Sans Serif"/>
        <scheme val="none"/>
      </font>
    </dxf>
    <dxf>
      <font>
        <b/>
        <i val="0"/>
        <strike val="0"/>
        <condense val="0"/>
        <extend val="0"/>
        <outline val="0"/>
        <shadow val="0"/>
        <u val="none"/>
        <vertAlign val="baseline"/>
        <sz val="10"/>
        <color theme="0"/>
        <name val="MS Sans Serif"/>
        <scheme val="none"/>
      </font>
      <fill>
        <patternFill patternType="solid">
          <fgColor theme="1"/>
          <bgColor theme="1"/>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dxf>
    <dxf>
      <alignment horizontal="center" vertical="bottom" textRotation="0" wrapText="0" indent="0" justifyLastLine="0" shrinkToFit="0" readingOrder="0"/>
    </dxf>
    <dxf>
      <numFmt numFmtId="19" formatCode="m/d/yyyy"/>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30" formatCode="@"/>
    </dxf>
    <dxf>
      <fill>
        <patternFill patternType="none">
          <fgColor indexed="64"/>
          <bgColor auto="1"/>
        </patternFill>
      </fill>
    </dxf>
    <dxf>
      <alignment horizontal="center" vertical="bottom" textRotation="0" wrapText="0" indent="0" justifyLastLine="0" shrinkToFit="0" readingOrder="0"/>
    </dxf>
    <dxf>
      <fill>
        <patternFill patternType="solid">
          <fgColor indexed="64"/>
          <bgColor theme="5" tint="0.39997558519241921"/>
        </patternFill>
      </fill>
    </dxf>
    <dxf>
      <fill>
        <patternFill patternType="solid">
          <fgColor indexed="64"/>
          <bgColor theme="5" tint="0.39997558519241921"/>
        </patternFill>
      </fill>
    </dxf>
    <dxf>
      <fill>
        <patternFill patternType="solid">
          <fgColor indexed="64"/>
          <bgColor theme="5" tint="0.39997558519241921"/>
        </patternFill>
      </fill>
    </dxf>
    <dxf>
      <fill>
        <patternFill patternType="solid">
          <fgColor indexed="64"/>
          <bgColor theme="5" tint="0.399975585192419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auto="1"/>
        <name val="MS Sans Serif"/>
        <scheme val="none"/>
      </font>
    </dxf>
    <dxf>
      <font>
        <b/>
        <i val="0"/>
        <strike val="0"/>
        <condense val="0"/>
        <extend val="0"/>
        <outline val="0"/>
        <shadow val="0"/>
        <u val="none"/>
        <vertAlign val="baseline"/>
        <sz val="10"/>
        <color auto="1"/>
        <name val="MS Sans Serif"/>
        <scheme val="none"/>
      </font>
    </dxf>
    <dxf>
      <font>
        <b/>
        <i val="0"/>
        <strike val="0"/>
        <condense val="0"/>
        <extend val="0"/>
        <outline val="0"/>
        <shadow val="0"/>
        <u val="none"/>
        <vertAlign val="baseline"/>
        <sz val="10"/>
        <color auto="1"/>
        <name val="MS Sans Serif"/>
        <scheme val="none"/>
      </font>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numFmt numFmtId="0" formatCode="General"/>
    </dxf>
    <dxf>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0"/>
        <color auto="1"/>
        <name val="MS Sans Serif"/>
        <scheme val="none"/>
      </font>
      <numFmt numFmtId="0" formatCode="General"/>
    </dxf>
    <dxf>
      <numFmt numFmtId="0" formatCode="General"/>
    </dxf>
    <dxf>
      <numFmt numFmtId="0" formatCode="General"/>
    </dxf>
    <dxf>
      <numFmt numFmtId="0" formatCode="General"/>
    </dxf>
    <dxf>
      <border outline="0">
        <left style="thin">
          <color indexed="64"/>
        </left>
        <right style="thin">
          <color indexed="64"/>
        </right>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MS Sans Serif"/>
        <scheme val="none"/>
      </font>
      <numFmt numFmtId="0" formatCode="General"/>
    </dxf>
    <dxf>
      <font>
        <b val="0"/>
        <i val="0"/>
        <strike val="0"/>
        <condense val="0"/>
        <extend val="0"/>
        <outline val="0"/>
        <shadow val="0"/>
        <u val="none"/>
        <vertAlign val="baseline"/>
        <sz val="10"/>
        <color auto="1"/>
        <name val="MS Sans Serif"/>
        <scheme val="none"/>
      </font>
      <numFmt numFmtId="0" formatCode="General"/>
    </dxf>
    <dxf>
      <numFmt numFmtId="0" formatCode="General"/>
    </dxf>
    <dxf>
      <border outline="0">
        <left style="thin">
          <color indexed="64"/>
        </left>
        <right style="thin">
          <color indexed="64"/>
        </right>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MS Sans Serif"/>
        <scheme val="none"/>
      </font>
      <numFmt numFmtId="30" formatCode="@"/>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alignment horizontal="center" vertical="bottom" textRotation="0" wrapText="0" indent="0" justifyLastLine="0" shrinkToFit="0" readingOrder="0"/>
    </dxf>
    <dxf>
      <numFmt numFmtId="0" formatCode="General"/>
      <fill>
        <patternFill patternType="solid">
          <fgColor indexed="64"/>
          <bgColor theme="5" tint="0.59999389629810485"/>
        </patternFill>
      </fill>
    </dxf>
    <dxf>
      <fill>
        <patternFill patternType="solid">
          <fgColor indexed="64"/>
          <bgColor theme="5" tint="0.59999389629810485"/>
        </patternFill>
      </fill>
    </dxf>
    <dxf>
      <numFmt numFmtId="0" formatCode="General"/>
      <fill>
        <patternFill patternType="solid">
          <fgColor indexed="64"/>
          <bgColor theme="5" tint="0.59999389629810485"/>
        </patternFill>
      </fill>
    </dxf>
    <dxf>
      <font>
        <b val="0"/>
        <i val="0"/>
        <strike val="0"/>
        <condense val="0"/>
        <extend val="0"/>
        <outline val="0"/>
        <shadow val="0"/>
        <u val="none"/>
        <vertAlign val="baseline"/>
        <sz val="10"/>
        <color auto="1"/>
        <name val="MS Sans Serif"/>
        <scheme val="none"/>
      </font>
      <numFmt numFmtId="6" formatCode="#,##0_);[Red]\(#,##0\)"/>
      <fill>
        <patternFill patternType="none">
          <fgColor indexed="64"/>
          <bgColor indexed="65"/>
        </patternFill>
      </fill>
    </dxf>
    <dxf>
      <numFmt numFmtId="6" formatCode="#,##0_);[Red]\(#,##0\)"/>
      <fill>
        <patternFill patternType="solid">
          <fgColor indexed="64"/>
          <bgColor theme="5" tint="0.59999389629810485"/>
        </patternFill>
      </fill>
    </dxf>
    <dxf>
      <font>
        <b val="0"/>
        <i val="0"/>
        <strike val="0"/>
        <condense val="0"/>
        <extend val="0"/>
        <outline val="0"/>
        <shadow val="0"/>
        <u val="none"/>
        <vertAlign val="baseline"/>
        <sz val="10"/>
        <color auto="1"/>
        <name val="MS Sans Serif"/>
        <scheme val="none"/>
      </font>
      <numFmt numFmtId="6" formatCode="#,##0_);[Red]\(#,##0\)"/>
      <fill>
        <patternFill patternType="none">
          <fgColor indexed="64"/>
          <bgColor indexed="65"/>
        </patternFill>
      </fill>
    </dxf>
    <dxf>
      <numFmt numFmtId="6" formatCode="#,##0_);[Red]\(#,##0\)"/>
      <fill>
        <patternFill patternType="solid">
          <fgColor indexed="64"/>
          <bgColor theme="5" tint="0.59999389629810485"/>
        </patternFill>
      </fill>
    </dxf>
    <dxf>
      <font>
        <b val="0"/>
        <i val="0"/>
        <strike val="0"/>
        <condense val="0"/>
        <extend val="0"/>
        <outline val="0"/>
        <shadow val="0"/>
        <u val="none"/>
        <vertAlign val="baseline"/>
        <sz val="10"/>
        <color auto="1"/>
        <name val="MS Sans Serif"/>
        <scheme val="none"/>
      </font>
      <numFmt numFmtId="6" formatCode="#,##0_);[Red]\(#,##0\)"/>
      <fill>
        <patternFill patternType="none">
          <fgColor indexed="64"/>
          <bgColor indexed="65"/>
        </patternFill>
      </fill>
    </dxf>
    <dxf>
      <numFmt numFmtId="6" formatCode="#,##0_);[Red]\(#,##0\)"/>
      <fill>
        <patternFill patternType="solid">
          <fgColor indexed="64"/>
          <bgColor theme="5" tint="0.59999389629810485"/>
        </patternFill>
      </fill>
    </dxf>
    <dxf>
      <fill>
        <patternFill patternType="solid">
          <fgColor indexed="64"/>
          <bgColor theme="5" tint="0.59999389629810485"/>
        </patternFill>
      </fill>
    </dxf>
    <dxf>
      <fill>
        <patternFill patternType="solid">
          <fgColor indexed="64"/>
          <bgColor theme="5" tint="0.59999389629810485"/>
        </patternFill>
      </fill>
    </dxf>
    <dxf>
      <fill>
        <patternFill patternType="solid">
          <fgColor indexed="64"/>
          <bgColor theme="5" tint="0.59999389629810485"/>
        </patternFill>
      </fill>
    </dxf>
    <dxf>
      <fill>
        <patternFill patternType="none">
          <fgColor indexed="64"/>
          <bgColor auto="1"/>
        </patternFill>
      </fill>
    </dxf>
    <dxf>
      <fill>
        <patternFill patternType="solid">
          <fgColor indexed="64"/>
          <bgColor theme="5" tint="0.59999389629810485"/>
        </patternFill>
      </fill>
    </dxf>
    <dxf>
      <alignment horizontal="center" vertical="bottom" textRotation="0" wrapText="1" indent="0" justifyLastLine="0" shrinkToFit="0" readingOrder="0"/>
    </dxf>
    <dxf>
      <numFmt numFmtId="3" formatCode="#,##0"/>
    </dxf>
    <dxf>
      <numFmt numFmtId="3" formatCode="#,##0"/>
    </dxf>
    <dxf>
      <alignment horizontal="center" vertical="bottom" textRotation="0" wrapText="0" indent="0" justifyLastLine="0" shrinkToFit="0" readingOrder="0"/>
    </dxf>
    <dxf>
      <numFmt numFmtId="3" formatCode="#,##0"/>
    </dxf>
    <dxf>
      <alignment horizontal="center"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AB6FE"/>
      <color rgb="FF6AA2FE"/>
      <color rgb="FF5DD5FF"/>
      <color rgb="FF76B531"/>
      <color rgb="FF548123"/>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2.wmf"/></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20</xdr:row>
      <xdr:rowOff>95250</xdr:rowOff>
    </xdr:from>
    <xdr:to>
      <xdr:col>7</xdr:col>
      <xdr:colOff>542925</xdr:colOff>
      <xdr:row>41</xdr:row>
      <xdr:rowOff>142875</xdr:rowOff>
    </xdr:to>
    <xdr:pic>
      <xdr:nvPicPr>
        <xdr:cNvPr id="18446" name="Picture 4" descr="MCj04154700000[1]">
          <a:extLst>
            <a:ext uri="{FF2B5EF4-FFF2-40B4-BE49-F238E27FC236}">
              <a16:creationId xmlns:a16="http://schemas.microsoft.com/office/drawing/2014/main" id="{00000000-0008-0000-0000-00000E4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0" y="3448050"/>
          <a:ext cx="4048125" cy="34480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190500</xdr:colOff>
          <xdr:row>5</xdr:row>
          <xdr:rowOff>60960</xdr:rowOff>
        </xdr:from>
        <xdr:to>
          <xdr:col>6</xdr:col>
          <xdr:colOff>419100</xdr:colOff>
          <xdr:row>8</xdr:row>
          <xdr:rowOff>99060</xdr:rowOff>
        </xdr:to>
        <xdr:sp macro="" textlink="">
          <xdr:nvSpPr>
            <xdr:cNvPr id="18440" name="Object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20</xdr:row>
      <xdr:rowOff>95250</xdr:rowOff>
    </xdr:from>
    <xdr:to>
      <xdr:col>7</xdr:col>
      <xdr:colOff>544830</xdr:colOff>
      <xdr:row>41</xdr:row>
      <xdr:rowOff>140970</xdr:rowOff>
    </xdr:to>
    <xdr:pic>
      <xdr:nvPicPr>
        <xdr:cNvPr id="2" name="Picture 4" descr="MCj0415470000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2950" y="3990975"/>
          <a:ext cx="3933825" cy="34480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190500</xdr:colOff>
          <xdr:row>5</xdr:row>
          <xdr:rowOff>68580</xdr:rowOff>
        </xdr:from>
        <xdr:to>
          <xdr:col>6</xdr:col>
          <xdr:colOff>419100</xdr:colOff>
          <xdr:row>8</xdr:row>
          <xdr:rowOff>106680</xdr:rowOff>
        </xdr:to>
        <xdr:sp macro="" textlink="">
          <xdr:nvSpPr>
            <xdr:cNvPr id="228353" name="Object 1" hidden="1">
              <a:extLst>
                <a:ext uri="{63B3BB69-23CF-44E3-9099-C40C66FF867C}">
                  <a14:compatExt spid="_x0000_s228353"/>
                </a:ext>
                <a:ext uri="{FF2B5EF4-FFF2-40B4-BE49-F238E27FC236}">
                  <a16:creationId xmlns:a16="http://schemas.microsoft.com/office/drawing/2014/main" id="{00000000-0008-0000-0100-0000017C03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480060</xdr:colOff>
          <xdr:row>33</xdr:row>
          <xdr:rowOff>38100</xdr:rowOff>
        </xdr:from>
        <xdr:to>
          <xdr:col>16</xdr:col>
          <xdr:colOff>213360</xdr:colOff>
          <xdr:row>34</xdr:row>
          <xdr:rowOff>114300</xdr:rowOff>
        </xdr:to>
        <xdr:sp macro="" textlink="">
          <xdr:nvSpPr>
            <xdr:cNvPr id="204802" name="Button 2" hidden="1">
              <a:extLst>
                <a:ext uri="{63B3BB69-23CF-44E3-9099-C40C66FF867C}">
                  <a14:compatExt spid="_x0000_s204802"/>
                </a:ext>
                <a:ext uri="{FF2B5EF4-FFF2-40B4-BE49-F238E27FC236}">
                  <a16:creationId xmlns:a16="http://schemas.microsoft.com/office/drawing/2014/main" id="{00000000-0008-0000-0600-0000022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Previous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xdr:colOff>
          <xdr:row>47</xdr:row>
          <xdr:rowOff>0</xdr:rowOff>
        </xdr:from>
        <xdr:to>
          <xdr:col>7</xdr:col>
          <xdr:colOff>7620</xdr:colOff>
          <xdr:row>48</xdr:row>
          <xdr:rowOff>68580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8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47</xdr:row>
          <xdr:rowOff>0</xdr:rowOff>
        </xdr:from>
        <xdr:to>
          <xdr:col>7</xdr:col>
          <xdr:colOff>22860</xdr:colOff>
          <xdr:row>48</xdr:row>
          <xdr:rowOff>60960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8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xdr:row>
          <xdr:rowOff>137160</xdr:rowOff>
        </xdr:from>
        <xdr:to>
          <xdr:col>7</xdr:col>
          <xdr:colOff>0</xdr:colOff>
          <xdr:row>49</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8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9</xdr:col>
      <xdr:colOff>111125</xdr:colOff>
      <xdr:row>47</xdr:row>
      <xdr:rowOff>0</xdr:rowOff>
    </xdr:from>
    <xdr:ext cx="184731" cy="251031"/>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5064125" y="6159500"/>
          <a:ext cx="184731" cy="251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111125</xdr:colOff>
      <xdr:row>47</xdr:row>
      <xdr:rowOff>0</xdr:rowOff>
    </xdr:from>
    <xdr:ext cx="184731" cy="251031"/>
    <xdr:sp macro="" textlink="">
      <xdr:nvSpPr>
        <xdr:cNvPr id="74" name="TextBox 73">
          <a:extLst>
            <a:ext uri="{FF2B5EF4-FFF2-40B4-BE49-F238E27FC236}">
              <a16:creationId xmlns:a16="http://schemas.microsoft.com/office/drawing/2014/main" id="{00000000-0008-0000-0A00-00004A000000}"/>
            </a:ext>
          </a:extLst>
        </xdr:cNvPr>
        <xdr:cNvSpPr txBox="1"/>
      </xdr:nvSpPr>
      <xdr:spPr>
        <a:xfrm>
          <a:off x="5073650" y="7358062"/>
          <a:ext cx="184731" cy="251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111125</xdr:colOff>
      <xdr:row>48</xdr:row>
      <xdr:rowOff>0</xdr:rowOff>
    </xdr:from>
    <xdr:ext cx="184731" cy="251031"/>
    <xdr:sp macro="" textlink="">
      <xdr:nvSpPr>
        <xdr:cNvPr id="13" name="TextBox 12">
          <a:extLst>
            <a:ext uri="{FF2B5EF4-FFF2-40B4-BE49-F238E27FC236}">
              <a16:creationId xmlns:a16="http://schemas.microsoft.com/office/drawing/2014/main" id="{00000000-0008-0000-0A00-00000D000000}"/>
            </a:ext>
          </a:extLst>
        </xdr:cNvPr>
        <xdr:cNvSpPr txBox="1"/>
      </xdr:nvSpPr>
      <xdr:spPr>
        <a:xfrm>
          <a:off x="5064125" y="7350125"/>
          <a:ext cx="184731" cy="251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111125</xdr:colOff>
      <xdr:row>48</xdr:row>
      <xdr:rowOff>0</xdr:rowOff>
    </xdr:from>
    <xdr:ext cx="184731" cy="251031"/>
    <xdr:sp macro="" textlink="">
      <xdr:nvSpPr>
        <xdr:cNvPr id="14" name="TextBox 13">
          <a:extLst>
            <a:ext uri="{FF2B5EF4-FFF2-40B4-BE49-F238E27FC236}">
              <a16:creationId xmlns:a16="http://schemas.microsoft.com/office/drawing/2014/main" id="{00000000-0008-0000-0A00-00000E000000}"/>
            </a:ext>
          </a:extLst>
        </xdr:cNvPr>
        <xdr:cNvSpPr txBox="1"/>
      </xdr:nvSpPr>
      <xdr:spPr>
        <a:xfrm>
          <a:off x="5064125" y="7350125"/>
          <a:ext cx="184731" cy="251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39</xdr:row>
          <xdr:rowOff>38100</xdr:rowOff>
        </xdr:from>
        <xdr:to>
          <xdr:col>4</xdr:col>
          <xdr:colOff>182880</xdr:colOff>
          <xdr:row>39</xdr:row>
          <xdr:rowOff>289560</xdr:rowOff>
        </xdr:to>
        <xdr:sp macro="" textlink="">
          <xdr:nvSpPr>
            <xdr:cNvPr id="166913" name="Button 1" hidden="1">
              <a:extLst>
                <a:ext uri="{63B3BB69-23CF-44E3-9099-C40C66FF867C}">
                  <a14:compatExt spid="_x0000_s166913"/>
                </a:ext>
                <a:ext uri="{FF2B5EF4-FFF2-40B4-BE49-F238E27FC236}">
                  <a16:creationId xmlns:a16="http://schemas.microsoft.com/office/drawing/2014/main" id="{00000000-0008-0000-0A00-0000018C02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Previous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388620</xdr:colOff>
          <xdr:row>39</xdr:row>
          <xdr:rowOff>30480</xdr:rowOff>
        </xdr:from>
        <xdr:to>
          <xdr:col>8</xdr:col>
          <xdr:colOff>289560</xdr:colOff>
          <xdr:row>39</xdr:row>
          <xdr:rowOff>289560</xdr:rowOff>
        </xdr:to>
        <xdr:sp macro="" textlink="">
          <xdr:nvSpPr>
            <xdr:cNvPr id="166914" name="Button 2" hidden="1">
              <a:extLst>
                <a:ext uri="{63B3BB69-23CF-44E3-9099-C40C66FF867C}">
                  <a14:compatExt spid="_x0000_s166914"/>
                </a:ext>
                <a:ext uri="{FF2B5EF4-FFF2-40B4-BE49-F238E27FC236}">
                  <a16:creationId xmlns:a16="http://schemas.microsoft.com/office/drawing/2014/main" id="{00000000-0008-0000-0A00-0000028C02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Next</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373380</xdr:colOff>
          <xdr:row>76</xdr:row>
          <xdr:rowOff>0</xdr:rowOff>
        </xdr:from>
        <xdr:to>
          <xdr:col>1</xdr:col>
          <xdr:colOff>1211580</xdr:colOff>
          <xdr:row>76</xdr:row>
          <xdr:rowOff>0</xdr:rowOff>
        </xdr:to>
        <xdr:sp macro="" textlink="">
          <xdr:nvSpPr>
            <xdr:cNvPr id="39937" name="Button 1" hidden="1">
              <a:extLst>
                <a:ext uri="{63B3BB69-23CF-44E3-9099-C40C66FF867C}">
                  <a14:compatExt spid="_x0000_s39937"/>
                </a:ext>
                <a:ext uri="{FF2B5EF4-FFF2-40B4-BE49-F238E27FC236}">
                  <a16:creationId xmlns:a16="http://schemas.microsoft.com/office/drawing/2014/main" id="{00000000-0008-0000-0F00-0000019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Previous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104775</xdr:colOff>
      <xdr:row>5</xdr:row>
      <xdr:rowOff>9525</xdr:rowOff>
    </xdr:from>
    <xdr:to>
      <xdr:col>8</xdr:col>
      <xdr:colOff>628650</xdr:colOff>
      <xdr:row>8</xdr:row>
      <xdr:rowOff>76200</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3152775" y="819150"/>
          <a:ext cx="2333625" cy="552450"/>
        </a:xfrm>
        <a:prstGeom prst="rect">
          <a:avLst/>
        </a:prstGeom>
        <a:solidFill>
          <a:srgbClr val="FFFF80"/>
        </a:solidFill>
        <a:ln w="9525">
          <a:solidFill>
            <a:srgbClr val="000000"/>
          </a:solidFill>
          <a:miter lim="800000"/>
          <a:headEnd/>
          <a:tailEnd/>
        </a:ln>
      </xdr:spPr>
      <xdr:txBody>
        <a:bodyPr vertOverflow="clip" wrap="square" lIns="27432" tIns="18288" rIns="27432" bIns="0" anchor="t" upright="1"/>
        <a:lstStyle/>
        <a:p>
          <a:pPr algn="ctr" rtl="0">
            <a:defRPr sz="1000"/>
          </a:pPr>
          <a:r>
            <a:rPr lang="en-US" sz="800" b="1" i="0" u="none" strike="noStrike" baseline="0">
              <a:solidFill>
                <a:srgbClr val="FF0000"/>
              </a:solidFill>
              <a:latin typeface="Helv"/>
            </a:rPr>
            <a:t>Check:</a:t>
          </a:r>
        </a:p>
        <a:p>
          <a:pPr algn="ctr" rtl="0">
            <a:defRPr sz="1000"/>
          </a:pPr>
          <a:r>
            <a:rPr lang="en-US" sz="800" b="1" i="0" u="none" strike="noStrike" baseline="0">
              <a:solidFill>
                <a:srgbClr val="FF0000"/>
              </a:solidFill>
              <a:latin typeface="Helv"/>
            </a:rPr>
            <a:t>Novoco.com  </a:t>
          </a:r>
        </a:p>
        <a:p>
          <a:pPr algn="ctr" rtl="0">
            <a:defRPr sz="1000"/>
          </a:pPr>
          <a:r>
            <a:rPr lang="en-US" sz="800" b="1" i="0" u="none" strike="noStrike" baseline="0">
              <a:solidFill>
                <a:srgbClr val="FF0000"/>
              </a:solidFill>
              <a:latin typeface="Helv"/>
            </a:rPr>
            <a:t>for recent tax credit rates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1114425</xdr:colOff>
      <xdr:row>24</xdr:row>
      <xdr:rowOff>0</xdr:rowOff>
    </xdr:from>
    <xdr:to>
      <xdr:col>8</xdr:col>
      <xdr:colOff>819150</xdr:colOff>
      <xdr:row>26</xdr:row>
      <xdr:rowOff>76200</xdr:rowOff>
    </xdr:to>
    <xdr:sp macro="" textlink="">
      <xdr:nvSpPr>
        <xdr:cNvPr id="2" name="Line 8">
          <a:extLst>
            <a:ext uri="{FF2B5EF4-FFF2-40B4-BE49-F238E27FC236}">
              <a16:creationId xmlns:a16="http://schemas.microsoft.com/office/drawing/2014/main" id="{00000000-0008-0000-1E00-000002000000}"/>
            </a:ext>
          </a:extLst>
        </xdr:cNvPr>
        <xdr:cNvSpPr>
          <a:spLocks noChangeShapeType="1"/>
        </xdr:cNvSpPr>
      </xdr:nvSpPr>
      <xdr:spPr bwMode="auto">
        <a:xfrm>
          <a:off x="4876800" y="3886200"/>
          <a:ext cx="609600" cy="400050"/>
        </a:xfrm>
        <a:prstGeom prst="line">
          <a:avLst/>
        </a:prstGeom>
        <a:noFill/>
        <a:ln w="9525">
          <a:solidFill>
            <a:srgbClr val="000000"/>
          </a:solidFill>
          <a:round/>
          <a:headEnd/>
          <a:tailEnd type="triangle" w="med" len="med"/>
        </a:ln>
      </xdr:spPr>
    </xdr:sp>
    <xdr:clientData/>
  </xdr:twoCellAnchor>
  <xdr:twoCellAnchor>
    <xdr:from>
      <xdr:col>8</xdr:col>
      <xdr:colOff>9525</xdr:colOff>
      <xdr:row>26</xdr:row>
      <xdr:rowOff>85725</xdr:rowOff>
    </xdr:from>
    <xdr:to>
      <xdr:col>8</xdr:col>
      <xdr:colOff>819150</xdr:colOff>
      <xdr:row>29</xdr:row>
      <xdr:rowOff>9525</xdr:rowOff>
    </xdr:to>
    <xdr:sp macro="" textlink="">
      <xdr:nvSpPr>
        <xdr:cNvPr id="3" name="Line 9">
          <a:extLst>
            <a:ext uri="{FF2B5EF4-FFF2-40B4-BE49-F238E27FC236}">
              <a16:creationId xmlns:a16="http://schemas.microsoft.com/office/drawing/2014/main" id="{00000000-0008-0000-1E00-000003000000}"/>
            </a:ext>
          </a:extLst>
        </xdr:cNvPr>
        <xdr:cNvSpPr>
          <a:spLocks noChangeShapeType="1"/>
        </xdr:cNvSpPr>
      </xdr:nvSpPr>
      <xdr:spPr bwMode="auto">
        <a:xfrm flipV="1">
          <a:off x="4886325" y="4295775"/>
          <a:ext cx="600075" cy="409575"/>
        </a:xfrm>
        <a:prstGeom prst="line">
          <a:avLst/>
        </a:prstGeom>
        <a:noFill/>
        <a:ln w="9525">
          <a:solidFill>
            <a:srgbClr val="000000"/>
          </a:solidFill>
          <a:round/>
          <a:headEnd/>
          <a:tailEnd type="triangle" w="med" len="med"/>
        </a:ln>
      </xdr:spPr>
    </xdr:sp>
    <xdr:clientData/>
  </xdr:twoCellAnchor>
  <xdr:twoCellAnchor>
    <xdr:from>
      <xdr:col>8</xdr:col>
      <xdr:colOff>9525</xdr:colOff>
      <xdr:row>30</xdr:row>
      <xdr:rowOff>85725</xdr:rowOff>
    </xdr:from>
    <xdr:to>
      <xdr:col>8</xdr:col>
      <xdr:colOff>819150</xdr:colOff>
      <xdr:row>30</xdr:row>
      <xdr:rowOff>95250</xdr:rowOff>
    </xdr:to>
    <xdr:sp macro="" textlink="">
      <xdr:nvSpPr>
        <xdr:cNvPr id="4" name="Line 11">
          <a:extLst>
            <a:ext uri="{FF2B5EF4-FFF2-40B4-BE49-F238E27FC236}">
              <a16:creationId xmlns:a16="http://schemas.microsoft.com/office/drawing/2014/main" id="{00000000-0008-0000-1E00-000004000000}"/>
            </a:ext>
          </a:extLst>
        </xdr:cNvPr>
        <xdr:cNvSpPr>
          <a:spLocks noChangeShapeType="1"/>
        </xdr:cNvSpPr>
      </xdr:nvSpPr>
      <xdr:spPr bwMode="auto">
        <a:xfrm flipV="1">
          <a:off x="4886325" y="4943475"/>
          <a:ext cx="600075" cy="9525"/>
        </a:xfrm>
        <a:prstGeom prst="line">
          <a:avLst/>
        </a:prstGeom>
        <a:noFill/>
        <a:ln w="9525">
          <a:solidFill>
            <a:srgbClr val="000000"/>
          </a:solidFill>
          <a:round/>
          <a:headEnd/>
          <a:tailEnd type="triangle" w="med" len="med"/>
        </a:ln>
      </xdr:spPr>
    </xdr:sp>
    <xdr:clientData/>
  </xdr:twoCellAnchor>
  <xdr:oneCellAnchor>
    <xdr:from>
      <xdr:col>7</xdr:col>
      <xdr:colOff>914400</xdr:colOff>
      <xdr:row>12</xdr:row>
      <xdr:rowOff>133350</xdr:rowOff>
    </xdr:from>
    <xdr:ext cx="76200" cy="200025"/>
    <xdr:sp macro="" textlink="">
      <xdr:nvSpPr>
        <xdr:cNvPr id="5" name="Text Box 12">
          <a:extLst>
            <a:ext uri="{FF2B5EF4-FFF2-40B4-BE49-F238E27FC236}">
              <a16:creationId xmlns:a16="http://schemas.microsoft.com/office/drawing/2014/main" id="{00000000-0008-0000-1E00-000005000000}"/>
            </a:ext>
          </a:extLst>
        </xdr:cNvPr>
        <xdr:cNvSpPr txBox="1">
          <a:spLocks noChangeArrowheads="1"/>
        </xdr:cNvSpPr>
      </xdr:nvSpPr>
      <xdr:spPr bwMode="auto">
        <a:xfrm>
          <a:off x="4876800" y="2076450"/>
          <a:ext cx="76200" cy="20002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g-fileserver4\dept\NewDev\Project\RLP\RLP%202020\Hillside%20at%20Village%20Square%20(TE)\Pre-CLC\Building%20Tabulations%20-%20Unit%20Size%203.3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ug-fileserver4\dept\NewDev\Project\Tax%20Credit\Tax%20Credit%202021\2.%20Pre-Applications\Amended%20Proformas\2021%20LIHTC%20Application%20-%20Schoolhou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efreshError="1"/>
      <sheetData sheetId="1">
        <row r="1">
          <cell r="A1" t="str">
            <v>Accessible</v>
          </cell>
        </row>
        <row r="6">
          <cell r="A6" t="str">
            <v>Acq/Rehab+NC</v>
          </cell>
        </row>
        <row r="7">
          <cell r="A7" t="str">
            <v>Acquisition/Rehab</v>
          </cell>
        </row>
        <row r="8">
          <cell r="A8" t="str">
            <v>Adaptive Re-Use</v>
          </cell>
        </row>
        <row r="9">
          <cell r="A9" t="str">
            <v>Adaptive Re-Use+ NC</v>
          </cell>
        </row>
        <row r="10">
          <cell r="A10" t="str">
            <v>New Construction</v>
          </cell>
        </row>
        <row r="14">
          <cell r="A14" t="str">
            <v>Concrete</v>
          </cell>
        </row>
        <row r="15">
          <cell r="A15" t="str">
            <v>Masonry</v>
          </cell>
        </row>
        <row r="16">
          <cell r="A16" t="str">
            <v>Masonry/Steel</v>
          </cell>
        </row>
        <row r="17">
          <cell r="A17" t="str">
            <v>Masonry/Wood</v>
          </cell>
        </row>
        <row r="18">
          <cell r="A18" t="str">
            <v>Steel</v>
          </cell>
        </row>
        <row r="19">
          <cell r="A19" t="str">
            <v>Wood</v>
          </cell>
        </row>
        <row r="22">
          <cell r="A22" t="str">
            <v>Boarding</v>
          </cell>
        </row>
        <row r="23">
          <cell r="A23" t="str">
            <v>Double Loaded Corridor</v>
          </cell>
        </row>
        <row r="24">
          <cell r="A24" t="str">
            <v>Duplex</v>
          </cell>
          <cell r="F24" t="str">
            <v>Construction Management</v>
          </cell>
        </row>
        <row r="25">
          <cell r="A25" t="str">
            <v>Multi-Story</v>
          </cell>
          <cell r="F25" t="str">
            <v>Design/Bid/Build</v>
          </cell>
        </row>
        <row r="26">
          <cell r="A26" t="str">
            <v>Single Room Occupancy</v>
          </cell>
          <cell r="F26" t="str">
            <v>Negotiated Contract</v>
          </cell>
        </row>
        <row r="27">
          <cell r="A27" t="str">
            <v>Single Story</v>
          </cell>
        </row>
        <row r="28">
          <cell r="A28" t="str">
            <v>Townhouse</v>
          </cell>
        </row>
        <row r="30">
          <cell r="F30" t="str">
            <v>On Site 1:1</v>
          </cell>
        </row>
        <row r="31">
          <cell r="F31" t="str">
            <v>On Site &lt; 1:1</v>
          </cell>
        </row>
        <row r="32">
          <cell r="F32" t="str">
            <v>Off site (w MH approval)</v>
          </cell>
        </row>
        <row r="33">
          <cell r="A33" t="str">
            <v>Electric</v>
          </cell>
          <cell r="F33" t="str">
            <v>Fee in Lieu</v>
          </cell>
        </row>
        <row r="34">
          <cell r="A34" t="str">
            <v>Oil</v>
          </cell>
          <cell r="F34" t="str">
            <v>MH Waiver</v>
          </cell>
        </row>
        <row r="35">
          <cell r="A35" t="str">
            <v>Natural Gas</v>
          </cell>
          <cell r="F35" t="str">
            <v>Other</v>
          </cell>
        </row>
        <row r="36">
          <cell r="A36" t="str">
            <v>Popane</v>
          </cell>
        </row>
        <row r="37">
          <cell r="A37" t="str">
            <v>Geo-Thermal</v>
          </cell>
        </row>
        <row r="38">
          <cell r="A38" t="str">
            <v>Wood Pellet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e-app Cover"/>
      <sheetName val="Fee Schedule"/>
      <sheetName val="Certification"/>
      <sheetName val="Threshold Documentation"/>
      <sheetName val="Scoring Documentation"/>
      <sheetName val="Below Mrk Funding &amp; Acq Cost"/>
      <sheetName val="Applicant Information"/>
      <sheetName val="Conflict of Interest"/>
      <sheetName val="Tax Credit Compliance"/>
      <sheetName val="Project Information"/>
      <sheetName val="Additional Prj Information"/>
      <sheetName val="Building Summary"/>
      <sheetName val="Building Tabulations"/>
      <sheetName val="Current Rent Roll"/>
      <sheetName val="Proposed Rent Roll"/>
      <sheetName val="Utility Allowance"/>
      <sheetName val="Project Income"/>
      <sheetName val="Operating Budget"/>
      <sheetName val="Additional Op Ex Information"/>
      <sheetName val="Construction Costs"/>
      <sheetName val="Project Costs &amp; Basis"/>
      <sheetName val="Additional Prj Cost Information"/>
      <sheetName val="TDC per Unit"/>
      <sheetName val="Tax Credit Calculations"/>
      <sheetName val="Sources"/>
      <sheetName val="NPV-PV calculations"/>
      <sheetName val="Project Completion Sch"/>
      <sheetName val="MH Underwriting"/>
      <sheetName val="Tax Credit Calc"/>
      <sheetName val="Fed Home &amp; Match"/>
      <sheetName val="Amortization Schedules"/>
      <sheetName val="Sheet1"/>
      <sheetName val="NPV-PV calculation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8">
          <cell r="K8" t="str">
            <v>Drop Down</v>
          </cell>
        </row>
        <row r="9">
          <cell r="K9" t="str">
            <v>Yes</v>
          </cell>
        </row>
        <row r="10">
          <cell r="K10" t="str">
            <v>No</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81:C129" totalsRowShown="0" headerRowDxfId="165">
  <autoFilter ref="A81:C129" xr:uid="{00000000-0009-0000-0100-000002000000}">
    <filterColumn colId="0" hiddenButton="1"/>
    <filterColumn colId="1" hiddenButton="1"/>
    <filterColumn colId="2" hiddenButton="1"/>
  </autoFilter>
  <tableColumns count="3">
    <tableColumn id="1" xr3:uid="{00000000-0010-0000-0000-000001000000}" name="Sheet"/>
    <tableColumn id="3" xr3:uid="{00000000-0010-0000-0000-000003000000}" name="Field"/>
    <tableColumn id="4" xr3:uid="{00000000-0010-0000-0000-000004000000}" name="Value" dataDxfId="164"/>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A259:D300" totalsRowShown="0" headerRowDxfId="122">
  <autoFilter ref="A259:D300" xr:uid="{00000000-0009-0000-0100-00000C000000}">
    <filterColumn colId="0" hiddenButton="1"/>
    <filterColumn colId="1" hiddenButton="1"/>
    <filterColumn colId="2" hiddenButton="1"/>
    <filterColumn colId="3" hiddenButton="1"/>
  </autoFilter>
  <tableColumns count="4">
    <tableColumn id="1" xr3:uid="{00000000-0010-0000-0900-000001000000}" name="Sheet"/>
    <tableColumn id="2" xr3:uid="{00000000-0010-0000-0900-000002000000}" name="Field"/>
    <tableColumn id="3" xr3:uid="{00000000-0010-0000-0900-000003000000}" name="Annual Value"/>
    <tableColumn id="4" xr3:uid="{00000000-0010-0000-0900-000004000000}" name="Per Unit Value"/>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able16" displayName="Table16" ref="G259:H260" totalsRowShown="0" headerRowDxfId="121" dataDxfId="120">
  <autoFilter ref="G259:H260" xr:uid="{00000000-0009-0000-0100-000010000000}">
    <filterColumn colId="0" hiddenButton="1"/>
    <filterColumn colId="1" hiddenButton="1"/>
  </autoFilter>
  <tableColumns count="2">
    <tableColumn id="1" xr3:uid="{00000000-0010-0000-0A00-000001000000}" name="Annual" dataDxfId="119">
      <calculatedColumnFormula>IF(C260="","",C260)</calculatedColumnFormula>
    </tableColumn>
    <tableColumn id="2" xr3:uid="{00000000-0010-0000-0A00-000002000000}" name="Annual Per Unit" dataDxfId="118">
      <calculatedColumnFormula>IF(D260="","",D260)</calculatedColumnFormula>
    </tableColumn>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17" displayName="Table17" ref="L259:N300" totalsRowShown="0" headerRowDxfId="117">
  <autoFilter ref="L259:N300" xr:uid="{00000000-0009-0000-0100-000011000000}">
    <filterColumn colId="0" hiddenButton="1"/>
    <filterColumn colId="1" hiddenButton="1"/>
    <filterColumn colId="2" hiddenButton="1"/>
  </autoFilter>
  <tableColumns count="3">
    <tableColumn id="1" xr3:uid="{00000000-0010-0000-0B00-000001000000}" name="Mapped to Field"/>
    <tableColumn id="2" xr3:uid="{00000000-0010-0000-0B00-000002000000}" name="Mapping"/>
    <tableColumn id="3" xr3:uid="{00000000-0010-0000-0B00-000003000000}" name="Comment"/>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C000000}" name="Table18" displayName="Table18" ref="A304:D353" totalsRowShown="0" headerRowDxfId="116" dataDxfId="115">
  <autoFilter ref="A304:D353" xr:uid="{00000000-0009-0000-0100-000012000000}">
    <filterColumn colId="0" hiddenButton="1"/>
    <filterColumn colId="1" hiddenButton="1"/>
    <filterColumn colId="2" hiddenButton="1"/>
    <filterColumn colId="3" hiddenButton="1"/>
  </autoFilter>
  <tableColumns count="4">
    <tableColumn id="1" xr3:uid="{00000000-0010-0000-0C00-000001000000}" name="Sheet" dataDxfId="114"/>
    <tableColumn id="2" xr3:uid="{00000000-0010-0000-0C00-000002000000}" name="Field" dataDxfId="113"/>
    <tableColumn id="3" xr3:uid="{00000000-0010-0000-0C00-000003000000}" name="Value" dataDxfId="112"/>
    <tableColumn id="4" xr3:uid="{00000000-0010-0000-0C00-000004000000}" name="Per Unit Calc" dataDxfId="111">
      <calculatedColumnFormula>IF($B$5=0,0,C305/$B$5)</calculatedColumnFormula>
    </tableColumn>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D000000}" name="Table19" displayName="Table19" ref="G304:I353" totalsRowShown="0" headerRowDxfId="110" dataDxfId="109">
  <autoFilter ref="G304:I353" xr:uid="{00000000-0009-0000-0100-000013000000}">
    <filterColumn colId="0" hiddenButton="1"/>
    <filterColumn colId="1" hiddenButton="1"/>
    <filterColumn colId="2" hiddenButton="1"/>
  </autoFilter>
  <tableColumns count="3">
    <tableColumn id="1" xr3:uid="{00000000-0010-0000-0D00-000001000000}" name="Mapped to Field" dataDxfId="108"/>
    <tableColumn id="2" xr3:uid="{00000000-0010-0000-0D00-000002000000}" name="Annual Total" dataDxfId="107">
      <calculatedColumnFormula>C305</calculatedColumnFormula>
    </tableColumn>
    <tableColumn id="3" xr3:uid="{00000000-0010-0000-0D00-000003000000}" name="Per Unit" dataDxfId="106">
      <calculatedColumnFormula>D305</calculatedColumnFormula>
    </tableColumn>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Table20" displayName="Table20" ref="A360:D365" totalsRowShown="0" headerRowDxfId="105">
  <autoFilter ref="A360:D365" xr:uid="{00000000-0009-0000-0100-000014000000}">
    <filterColumn colId="0" hiddenButton="1"/>
    <filterColumn colId="1" hiddenButton="1"/>
    <filterColumn colId="2" hiddenButton="1"/>
    <filterColumn colId="3" hiddenButton="1"/>
  </autoFilter>
  <tableColumns count="4">
    <tableColumn id="1" xr3:uid="{00000000-0010-0000-0E00-000001000000}" name="Sheet"/>
    <tableColumn id="2" xr3:uid="{00000000-0010-0000-0E00-000002000000}" name="Cost Type"/>
    <tableColumn id="3" xr3:uid="{00000000-0010-0000-0E00-000003000000}" name="Concat Cost Names"/>
    <tableColumn id="4" xr3:uid="{00000000-0010-0000-0E00-000004000000}" name="Total"/>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Table21" displayName="Table21" ref="G360:J365" totalsRowShown="0" headerRowDxfId="104">
  <autoFilter ref="G360:J365" xr:uid="{00000000-0009-0000-0100-000015000000}">
    <filterColumn colId="0" hiddenButton="1"/>
    <filterColumn colId="1" hiddenButton="1"/>
    <filterColumn colId="2" hiddenButton="1"/>
    <filterColumn colId="3" hiddenButton="1"/>
  </autoFilter>
  <tableColumns count="4">
    <tableColumn id="1" xr3:uid="{00000000-0010-0000-0F00-000001000000}" name="Mapped to Object"/>
    <tableColumn id="2" xr3:uid="{00000000-0010-0000-0F00-000002000000}" name="Mapped to Field"/>
    <tableColumn id="3" xr3:uid="{00000000-0010-0000-0F00-000003000000}" name="Description" dataDxfId="103">
      <calculatedColumnFormula>IF(C361="None", "None", LEFT(C361,LEN(TRIM(C361))-1))</calculatedColumnFormula>
    </tableColumn>
    <tableColumn id="4" xr3:uid="{00000000-0010-0000-0F00-000004000000}" name="Amount">
      <calculatedColumnFormula>IF(D361="","",D361)</calculatedColumnFormula>
    </tableColumn>
  </tableColumns>
  <tableStyleInfo name="TableStyleLight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Table23" displayName="Table23" ref="A8:C30" totalsRowShown="0" headerRowDxfId="102">
  <autoFilter ref="A8:C30" xr:uid="{00000000-0009-0000-0100-000017000000}">
    <filterColumn colId="0" hiddenButton="1"/>
    <filterColumn colId="1" hiddenButton="1"/>
    <filterColumn colId="2" hiddenButton="1"/>
  </autoFilter>
  <tableColumns count="3">
    <tableColumn id="1" xr3:uid="{00000000-0010-0000-1000-000001000000}" name="Sheet"/>
    <tableColumn id="2" xr3:uid="{00000000-0010-0000-1000-000002000000}" name="Field"/>
    <tableColumn id="3" xr3:uid="{00000000-0010-0000-1000-000003000000}" name="Value"/>
  </tableColumns>
  <tableStyleInfo name="TableStyleLight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1000000}" name="Table24" displayName="Table24" ref="G8:I30" totalsRowShown="0" headerRowDxfId="101">
  <autoFilter ref="G8:I30" xr:uid="{00000000-0009-0000-0100-000018000000}">
    <filterColumn colId="0" hiddenButton="1"/>
    <filterColumn colId="1" hiddenButton="1"/>
    <filterColumn colId="2" hiddenButton="1"/>
  </autoFilter>
  <tableColumns count="3">
    <tableColumn id="1" xr3:uid="{00000000-0010-0000-1100-000001000000}" name="Mapped to Object"/>
    <tableColumn id="2" xr3:uid="{00000000-0010-0000-1100-000002000000}" name="Mapped to Field"/>
    <tableColumn id="3" xr3:uid="{00000000-0010-0000-1100-000003000000}" name="Value">
      <calculatedColumnFormula>IF(C9="","",C9)</calculatedColumnFormula>
    </tableColumn>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2000000}" name="Table25" displayName="Table25" ref="K8:M30" totalsRowShown="0" headerRowDxfId="100" dataDxfId="99">
  <autoFilter ref="K8:M30" xr:uid="{00000000-0009-0000-0100-000019000000}">
    <filterColumn colId="0" hiddenButton="1"/>
    <filterColumn colId="1" hiddenButton="1"/>
    <filterColumn colId="2" hiddenButton="1"/>
  </autoFilter>
  <tableColumns count="3">
    <tableColumn id="1" xr3:uid="{00000000-0010-0000-1200-000001000000}" name="Mapped to Object" dataDxfId="98"/>
    <tableColumn id="2" xr3:uid="{00000000-0010-0000-1200-000002000000}" name="Mapped to Field" dataDxfId="97"/>
    <tableColumn id="3" xr3:uid="{00000000-0010-0000-1200-000003000000}" name="Value" dataDxfId="96">
      <calculatedColumnFormula>IF(C9="","",C9)</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G81:I129" totalsRowCount="1" headerRowDxfId="163">
  <autoFilter ref="G81:I128" xr:uid="{00000000-0009-0000-0100-000005000000}">
    <filterColumn colId="0" hiddenButton="1"/>
    <filterColumn colId="1" hiddenButton="1"/>
    <filterColumn colId="2" hiddenButton="1"/>
  </autoFilter>
  <tableColumns count="3">
    <tableColumn id="1" xr3:uid="{00000000-0010-0000-0100-000001000000}" name="Line Item" totalsRowLabel="Total"/>
    <tableColumn id="2" xr3:uid="{00000000-0010-0000-0100-000002000000}" name="Value" totalsRowFunction="sum" dataDxfId="162" totalsRowDxfId="161"/>
    <tableColumn id="3" xr3:uid="{00000000-0010-0000-0100-000003000000}" name="Mapped to Field"/>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3000000}" name="Table26" displayName="Table26" ref="G34:L38" totalsRowShown="0" headerRowDxfId="95">
  <autoFilter ref="G34:L38" xr:uid="{00000000-0009-0000-0100-00001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1300-000001000000}" name="Subsidy Type" dataDxfId="94"/>
    <tableColumn id="2" xr3:uid="{00000000-0010-0000-1300-000002000000}" name="Limit Number"/>
    <tableColumn id="3" xr3:uid="{00000000-0010-0000-1300-000003000000}" name="Restriction Type" dataDxfId="93"/>
    <tableColumn id="4" xr3:uid="{00000000-0010-0000-1300-000004000000}" name="Percent of Units"/>
    <tableColumn id="5" xr3:uid="{00000000-0010-0000-1300-000005000000}" name="Count of Units"/>
    <tableColumn id="6" xr3:uid="{00000000-0010-0000-1300-000006000000}" name="Percent of Area Median Income"/>
  </tableColumns>
  <tableStyleInfo name="TableStyleLight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Table22" displayName="Table22" ref="A369:C372" totalsRowShown="0" headerRowDxfId="92">
  <autoFilter ref="A369:C372" xr:uid="{00000000-0009-0000-0100-000016000000}">
    <filterColumn colId="0" hiddenButton="1"/>
    <filterColumn colId="1" hiddenButton="1"/>
    <filterColumn colId="2" hiddenButton="1"/>
  </autoFilter>
  <tableColumns count="3">
    <tableColumn id="1" xr3:uid="{00000000-0010-0000-1400-000001000000}" name="Sheet"/>
    <tableColumn id="2" xr3:uid="{00000000-0010-0000-1400-000002000000}" name="Field"/>
    <tableColumn id="3" xr3:uid="{00000000-0010-0000-1400-000003000000}" name="Value"/>
  </tableColumns>
  <tableStyleInfo name="TableStyleLight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5000000}" name="Table27" displayName="Table27" ref="G369:I372" totalsRowShown="0" headerRowDxfId="91">
  <autoFilter ref="G369:I372" xr:uid="{00000000-0009-0000-0100-00001B000000}">
    <filterColumn colId="0" hiddenButton="1"/>
    <filterColumn colId="1" hiddenButton="1"/>
    <filterColumn colId="2" hiddenButton="1"/>
  </autoFilter>
  <tableColumns count="3">
    <tableColumn id="1" xr3:uid="{00000000-0010-0000-1500-000001000000}" name="Mapped to Object"/>
    <tableColumn id="2" xr3:uid="{00000000-0010-0000-1500-000002000000}" name="Mapped to Field"/>
    <tableColumn id="3" xr3:uid="{00000000-0010-0000-1500-000003000000}" name="Value">
      <calculatedColumnFormula>IF(C370="","",C370)</calculatedColumnFormula>
    </tableColumn>
  </tableColumns>
  <tableStyleInfo name="TableStyleLight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6000000}" name="Table28" displayName="Table28" ref="A376:C391" totalsRowShown="0" headerRowDxfId="90">
  <autoFilter ref="A376:C391" xr:uid="{00000000-0009-0000-0100-00001C000000}">
    <filterColumn colId="0" hiddenButton="1"/>
    <filterColumn colId="1" hiddenButton="1"/>
    <filterColumn colId="2" hiddenButton="1"/>
  </autoFilter>
  <tableColumns count="3">
    <tableColumn id="1" xr3:uid="{00000000-0010-0000-1600-000001000000}" name="Sheet"/>
    <tableColumn id="2" xr3:uid="{00000000-0010-0000-1600-000002000000}" name="Field"/>
    <tableColumn id="3" xr3:uid="{00000000-0010-0000-1600-000003000000}" name="Value" dataDxfId="89"/>
  </tableColumns>
  <tableStyleInfo name="TableStyleLight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7000000}" name="Table29" displayName="Table29" ref="G376:I391" totalsRowShown="0" headerRowDxfId="88">
  <autoFilter ref="G376:I391" xr:uid="{00000000-0009-0000-0100-00001D000000}">
    <filterColumn colId="0" hiddenButton="1"/>
    <filterColumn colId="1" hiddenButton="1"/>
    <filterColumn colId="2" hiddenButton="1"/>
  </autoFilter>
  <tableColumns count="3">
    <tableColumn id="1" xr3:uid="{00000000-0010-0000-1700-000001000000}" name="Mapped to Object"/>
    <tableColumn id="2" xr3:uid="{00000000-0010-0000-1700-000002000000}" name="Mapped to Field"/>
    <tableColumn id="3" xr3:uid="{00000000-0010-0000-1700-000003000000}" name="Value" dataDxfId="87">
      <calculatedColumnFormula>IF(ISNUMBER(C377),C377,"")</calculatedColumnFormula>
    </tableColumn>
  </tableColumns>
  <tableStyleInfo name="TableStyleLight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8000000}" name="Table30" displayName="Table30" ref="A223:C227" totalsRowShown="0" headerRowDxfId="86">
  <autoFilter ref="A223:C227" xr:uid="{00000000-0009-0000-0100-00001E000000}">
    <filterColumn colId="0" hiddenButton="1"/>
    <filterColumn colId="1" hiddenButton="1"/>
    <filterColumn colId="2" hiddenButton="1"/>
  </autoFilter>
  <tableColumns count="3">
    <tableColumn id="1" xr3:uid="{00000000-0010-0000-1800-000001000000}" name="Sheet"/>
    <tableColumn id="2" xr3:uid="{00000000-0010-0000-1800-000002000000}" name="Field"/>
    <tableColumn id="3" xr3:uid="{00000000-0010-0000-1800-000003000000}" name="Value"/>
  </tableColumns>
  <tableStyleInfo name="TableStyleLight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le31" displayName="Table31" ref="G223:I227" totalsRowShown="0" headerRowDxfId="85">
  <autoFilter ref="G223:I227" xr:uid="{00000000-0009-0000-0100-00001F000000}">
    <filterColumn colId="0" hiddenButton="1"/>
    <filterColumn colId="1" hiddenButton="1"/>
    <filterColumn colId="2" hiddenButton="1"/>
  </autoFilter>
  <tableColumns count="3">
    <tableColumn id="1" xr3:uid="{00000000-0010-0000-1900-000001000000}" name="Mapped to Object"/>
    <tableColumn id="2" xr3:uid="{00000000-0010-0000-1900-000002000000}" name="Mapped to Field"/>
    <tableColumn id="3" xr3:uid="{00000000-0010-0000-1900-000003000000}" name="Value">
      <calculatedColumnFormula>IF(C224="","",C224)</calculatedColumnFormula>
    </tableColumn>
  </tableColumns>
  <tableStyleInfo name="TableStyleLight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A000000}" name="Table6" displayName="Table6" ref="B133:E176" totalsRowShown="0" headerRowDxfId="84" dataDxfId="83" tableBorderDxfId="82">
  <autoFilter ref="B133:E176" xr:uid="{00000000-0009-0000-0100-000006000000}">
    <filterColumn colId="0" hiddenButton="1"/>
    <filterColumn colId="1" hiddenButton="1"/>
    <filterColumn colId="2" hiddenButton="1"/>
    <filterColumn colId="3" hiddenButton="1"/>
  </autoFilter>
  <tableColumns count="4">
    <tableColumn id="1" xr3:uid="{00000000-0010-0000-1A00-000001000000}" name="Sheet" dataDxfId="81"/>
    <tableColumn id="2" xr3:uid="{00000000-0010-0000-1A00-000002000000}" name="Total Cost" dataDxfId="80"/>
    <tableColumn id="3" xr3:uid="{00000000-0010-0000-1A00-000003000000}" name="Acq Credit" dataDxfId="79"/>
    <tableColumn id="4" xr3:uid="{00000000-0010-0000-1A00-000004000000}" name="Const/Rehab" dataDxfId="78"/>
  </tableColumns>
  <tableStyleInfo name="TableStyleLight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B000000}" name="Table7" displayName="Table7" ref="G133:L176" totalsRowCount="1" headerRowDxfId="77" dataDxfId="76" tableBorderDxfId="75">
  <autoFilter ref="G133:L175" xr:uid="{00000000-0009-0000-0100-000007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1B00-000001000000}" name="Line Item" totalsRowLabel="Total"/>
    <tableColumn id="6" xr3:uid="{00000000-0010-0000-1B00-000006000000}" name="Total Costs" totalsRowFunction="sum" dataDxfId="74"/>
    <tableColumn id="2" xr3:uid="{00000000-0010-0000-1B00-000002000000}" name="Acquisition" totalsRowFunction="sum" dataDxfId="73" totalsRowDxfId="72"/>
    <tableColumn id="3" xr3:uid="{00000000-0010-0000-1B00-000003000000}" name="4% Construction" totalsRowFunction="sum" dataDxfId="71" totalsRowDxfId="70"/>
    <tableColumn id="4" xr3:uid="{00000000-0010-0000-1B00-000004000000}" name="9% Construction" totalsRowFunction="sum" dataDxfId="69" totalsRowDxfId="68"/>
    <tableColumn id="5" xr3:uid="{00000000-0010-0000-1B00-000005000000}" name="Mapped to Field" dataDxfId="67" totalsRowDxfId="66"/>
  </tableColumns>
  <tableStyleInfo name="TableStyleLight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C000000}" name="Table1" displayName="Table1" ref="A43:D77" totalsRowShown="0" headerRowDxfId="65" dataDxfId="64" tableBorderDxfId="63">
  <autoFilter ref="A43:D77" xr:uid="{00000000-0009-0000-0100-000001000000}"/>
  <tableColumns count="4">
    <tableColumn id="1" xr3:uid="{00000000-0010-0000-1C00-000001000000}" name="Role" dataDxfId="62"/>
    <tableColumn id="2" xr3:uid="{00000000-0010-0000-1C00-000002000000}" name="Field Name" dataDxfId="61"/>
    <tableColumn id="3" xr3:uid="{00000000-0010-0000-1C00-000003000000}" name="Sheet" dataDxfId="60"/>
    <tableColumn id="4" xr3:uid="{00000000-0010-0000-1C00-000004000000}" name="Value" dataDxfId="5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A182:J204" totalsRowCount="1" headerRowDxfId="160" dataDxfId="159" totalsRowDxfId="158">
  <autoFilter ref="A182:J20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200-000001000000}" name="Sheet" totalsRowLabel="Total"/>
    <tableColumn id="2" xr3:uid="{00000000-0010-0000-0200-000002000000}" name="Cell" dataDxfId="157"/>
    <tableColumn id="3" xr3:uid="{00000000-0010-0000-0200-000003000000}" name="Field" dataDxfId="156">
      <calculatedColumnFormula>IF('MH Underwriting'!D79="","",'MH Underwriting'!D79)</calculatedColumnFormula>
    </tableColumn>
    <tableColumn id="4" xr3:uid="{00000000-0010-0000-0200-000004000000}" name="PL Source Selection" dataDxfId="155">
      <calculatedColumnFormula>IF('MH Underwriting'!F79="","",'MH Underwriting'!F79)</calculatedColumnFormula>
    </tableColumn>
    <tableColumn id="5" xr3:uid="{00000000-0010-0000-0200-000005000000}" name="CLC" totalsRowFunction="sum" dataDxfId="154" totalsRowDxfId="153" dataCellStyle="Comma">
      <calculatedColumnFormula>IF(SUM('MH Underwriting'!G79:L79)&lt;&gt;0,SUM('MH Underwriting'!G79:L79),"")</calculatedColumnFormula>
    </tableColumn>
    <tableColumn id="6" xr3:uid="{00000000-0010-0000-0200-000006000000}" name="PLC" totalsRowFunction="sum" dataDxfId="152" totalsRowDxfId="151" dataCellStyle="Comma">
      <calculatedColumnFormula>IF('MH Underwriting'!P79&lt;&gt;0,'MH Underwriting'!P79,"")</calculatedColumnFormula>
    </tableColumn>
    <tableColumn id="7" xr3:uid="{00000000-0010-0000-0200-000007000000}" name="Total" totalsRowFunction="sum" dataDxfId="150" totalsRowDxfId="149" dataCellStyle="Comma">
      <calculatedColumnFormula>IF('MH Underwriting'!T79&lt;&gt;0,'MH Underwriting'!T79,"")</calculatedColumnFormula>
    </tableColumn>
    <tableColumn id="8" xr3:uid="{00000000-0010-0000-0200-000008000000}" name="Rate" dataDxfId="148">
      <calculatedColumnFormula>IF(C183="","",_xlfn.IFNA(VLOOKUP(C183,'MH Underwriting'!$E$126:$L$141,6,FALSE),""))</calculatedColumnFormula>
    </tableColumn>
    <tableColumn id="9" xr3:uid="{00000000-0010-0000-0200-000009000000}" name="Term" dataDxfId="147">
      <calculatedColumnFormula>IF(C183="","",_xlfn.IFNA(VLOOKUP(C183,Sources!$B$43:$J$55,9,FALSE),""))</calculatedColumnFormula>
    </tableColumn>
    <tableColumn id="10" xr3:uid="{00000000-0010-0000-0200-00000A000000}" name="Lien" dataDxfId="146">
      <calculatedColumnFormula>IF(C183="","",_xlfn.IFNA(VLOOKUP(C183,'MH Underwriting'!$E$126:$L$141,8,FALSE),""))</calculatedColumnFormula>
    </tableColumn>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D000000}" name="Table3" displayName="Table3" ref="G43:M54" totalsRowShown="0" headerRowDxfId="58">
  <autoFilter ref="G43:M54" xr:uid="{00000000-0009-0000-0100-000003000000}"/>
  <tableColumns count="7">
    <tableColumn id="1" xr3:uid="{00000000-0010-0000-1D00-000001000000}" name="Proxy Entity" dataDxfId="57"/>
    <tableColumn id="2" xr3:uid="{00000000-0010-0000-1D00-000002000000}" name="Deal Entity Role" dataDxfId="56"/>
    <tableColumn id="3" xr3:uid="{00000000-0010-0000-1D00-000003000000}" name="Name" dataDxfId="55"/>
    <tableColumn id="4" xr3:uid="{00000000-0010-0000-1D00-000004000000}" name="Company/Individual" dataDxfId="54">
      <calculatedColumnFormula>IF(H44="","","Company")</calculatedColumnFormula>
    </tableColumn>
    <tableColumn id="5" xr3:uid="{00000000-0010-0000-1D00-000005000000}" name="Email Address 1" dataDxfId="53"/>
    <tableColumn id="6" xr3:uid="{00000000-0010-0000-1D00-000006000000}" name="Direct Phone" dataDxfId="52"/>
    <tableColumn id="7" xr3:uid="{00000000-0010-0000-1D00-000007000000}" name="Tax ID Number" dataDxfId="51">
      <calculatedColumnFormula>IF(H44="","",SUBSTITUTE(D45,"-",""))</calculatedColumnFormula>
    </tableColumn>
  </tableColumns>
  <tableStyleInfo name="TableStyleLight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E000000}" name="Table4" displayName="Table4" ref="O43:T54" totalsRowShown="0" headerRowDxfId="50" dataDxfId="49">
  <autoFilter ref="O43:T54" xr:uid="{00000000-0009-0000-0100-000004000000}"/>
  <tableColumns count="6">
    <tableColumn id="1" xr3:uid="{00000000-0010-0000-1E00-000001000000}" name="Deal Entity Role" dataDxfId="48"/>
    <tableColumn id="2" xr3:uid="{00000000-0010-0000-1E00-000002000000}" name="Name" dataDxfId="47"/>
    <tableColumn id="3" xr3:uid="{00000000-0010-0000-1E00-000003000000}" name="Company/Individual" dataDxfId="46">
      <calculatedColumnFormula>IF(O44="","","Company")</calculatedColumnFormula>
    </tableColumn>
    <tableColumn id="4" xr3:uid="{00000000-0010-0000-1E00-000004000000}" name="Email Address 1" dataDxfId="45"/>
    <tableColumn id="5" xr3:uid="{00000000-0010-0000-1E00-000005000000}" name="Direct Phone" dataDxfId="44"/>
    <tableColumn id="6" xr3:uid="{00000000-0010-0000-1E00-000006000000}" name="Tax ID Number" dataDxfId="43">
      <calculatedColumnFormula>IF(O44="","",SUBSTITUTE(D45,"-",""))</calculatedColumnFormula>
    </tableColumn>
  </tableColumns>
  <tableStyleInfo name="TableStyleLight8"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32" displayName="Table32" ref="L182:S204" totalsRowCount="1" headerRowDxfId="42" dataDxfId="41" totalsRowDxfId="39" tableBorderDxfId="40">
  <autoFilter ref="L182:S203" xr:uid="{00000000-0009-0000-0100-00002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F00-000001000000}" name="Sequence" totalsRowLabel="Total" dataDxfId="38"/>
    <tableColumn id="2" xr3:uid="{00000000-0010-0000-1F00-000002000000}" name="Funding Source" dataDxfId="37">
      <calculatedColumnFormula>IF(AND(G183&lt;&gt;"",D183&lt;&gt;""),D183,IF(G183&lt;&gt;"","External - Permanent",""))</calculatedColumnFormula>
    </tableColumn>
    <tableColumn id="3" xr3:uid="{00000000-0010-0000-1F00-000003000000}" name="Instrument Type" dataDxfId="36">
      <calculatedColumnFormula>IF(M183&lt;&gt;"","Third Party Loan","")</calculatedColumnFormula>
    </tableColumn>
    <tableColumn id="4" xr3:uid="{00000000-0010-0000-1F00-000004000000}" name="Term" dataDxfId="35">
      <calculatedColumnFormula>IF(AND(I183&lt;&gt;"",M183&lt;&gt;""),I183*12,"")</calculatedColumnFormula>
    </tableColumn>
    <tableColumn id="5" xr3:uid="{00000000-0010-0000-1F00-000005000000}" name="Interest Rate" dataDxfId="34">
      <calculatedColumnFormula>IF(AND(H183&lt;&gt;"",M183&lt;&gt;""),H183,"")</calculatedColumnFormula>
    </tableColumn>
    <tableColumn id="6" xr3:uid="{00000000-0010-0000-1F00-000006000000}" name="Program Type" dataDxfId="33">
      <calculatedColumnFormula>IF(M183&lt;&gt;"", "Permanent","")</calculatedColumnFormula>
    </tableColumn>
    <tableColumn id="7" xr3:uid="{00000000-0010-0000-1F00-000007000000}" name="Product Type" dataDxfId="32"/>
    <tableColumn id="8" xr3:uid="{00000000-0010-0000-1F00-000008000000}" name="Amount" totalsRowFunction="sum" dataDxfId="31" totalsRowDxfId="30" dataCellStyle="Comma">
      <calculatedColumnFormula>IF(AND(G183&lt;&gt;"",M183&lt;&gt;""),G183,"")</calculatedColumnFormula>
    </tableColumn>
  </tableColumns>
  <tableStyleInfo name="TableStyleLight8"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33" displayName="Table33" ref="U182:Z204" totalsRowCount="1" headerRowDxfId="29" tableBorderDxfId="28">
  <autoFilter ref="U182:Z203" xr:uid="{00000000-0009-0000-0100-00002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2000-000001000000}" name="Sequence" totalsRowLabel="Total" dataDxfId="27" totalsRowDxfId="26"/>
    <tableColumn id="2" xr3:uid="{00000000-0010-0000-2000-000002000000}" name="Source Name" dataDxfId="25">
      <calculatedColumnFormula>IF(G183&lt;&gt;"", IF(D183&lt;&gt;"",D183,C183),"")</calculatedColumnFormula>
    </tableColumn>
    <tableColumn id="3" xr3:uid="{00000000-0010-0000-2000-000003000000}" name="Financing Type" dataDxfId="24">
      <calculatedColumnFormula>IF(V183="","","Permanent")</calculatedColumnFormula>
    </tableColumn>
    <tableColumn id="4" xr3:uid="{00000000-0010-0000-2000-000004000000}" name="Amount" totalsRowFunction="sum" dataDxfId="23" totalsRowDxfId="22" dataCellStyle="Comma">
      <calculatedColumnFormula>IF(V183="","",G183)</calculatedColumnFormula>
    </tableColumn>
    <tableColumn id="5" xr3:uid="{00000000-0010-0000-2000-000005000000}" name="Loan Term" dataDxfId="21">
      <calculatedColumnFormula>IF(V183="","",O183)</calculatedColumnFormula>
    </tableColumn>
    <tableColumn id="6" xr3:uid="{00000000-0010-0000-2000-000006000000}" name="Interest Rate" dataDxfId="20">
      <calculatedColumnFormula>IF(V183="","",P183)</calculatedColumnFormula>
    </tableColumn>
  </tableColumns>
  <tableStyleInfo name="TableStyleLight8"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34" displayName="Table34" ref="AB182:AF203" totalsRowShown="0" headerRowDxfId="19" tableBorderDxfId="18">
  <autoFilter ref="AB182:AF203" xr:uid="{00000000-0009-0000-0100-000022000000}">
    <filterColumn colId="0" hiddenButton="1"/>
    <filterColumn colId="1" hiddenButton="1"/>
    <filterColumn colId="2" hiddenButton="1"/>
    <filterColumn colId="3" hiddenButton="1"/>
    <filterColumn colId="4" hiddenButton="1"/>
  </autoFilter>
  <tableColumns count="5">
    <tableColumn id="1" xr3:uid="{00000000-0010-0000-2100-000001000000}" name="Source Number" dataDxfId="17"/>
    <tableColumn id="2" xr3:uid="{00000000-0010-0000-2100-000002000000}" name="Source Name CLC">
      <calculatedColumnFormula>IF(V183="","",V183)</calculatedColumnFormula>
    </tableColumn>
    <tableColumn id="6" xr3:uid="{00000000-0010-0000-2100-000006000000}" name="CLC" dataDxfId="16" dataCellStyle="Comma">
      <calculatedColumnFormula>IF(V183="","",E183)</calculatedColumnFormula>
    </tableColumn>
    <tableColumn id="3" xr3:uid="{00000000-0010-0000-2100-000003000000}" name="Source Name PLC">
      <calculatedColumnFormula>IF(V183="","",V183)</calculatedColumnFormula>
    </tableColumn>
    <tableColumn id="5" xr3:uid="{00000000-0010-0000-2100-000005000000}" name="PLC" dataDxfId="15" dataCellStyle="Comma">
      <calculatedColumnFormula>Table8[[#This Row],[Total]]</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9" displayName="Table9" ref="G213:H219" totalsRowShown="0" headerRowDxfId="145">
  <autoFilter ref="G213:H219" xr:uid="{00000000-0009-0000-0100-000009000000}">
    <filterColumn colId="0" hiddenButton="1"/>
    <filterColumn colId="1" hiddenButton="1"/>
  </autoFilter>
  <tableColumns count="2">
    <tableColumn id="1" xr3:uid="{00000000-0010-0000-0300-000001000000}" name="DEV UDF Name" dataDxfId="144">
      <calculatedColumnFormula>IF(Table10[[#This Row],[Concat Cost Names]]="None", "None", LEFT(Table10[[#This Row],[Concat Cost Names]],LEN(TRIM(Table10[[#This Row],[Concat Cost Names]]))-1))</calculatedColumnFormula>
    </tableColumn>
    <tableColumn id="2" xr3:uid="{00000000-0010-0000-0300-000002000000}" name="DEV UDF Amount">
      <calculatedColumnFormula>D214</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A213:D219" totalsRowShown="0" headerRowDxfId="143">
  <autoFilter ref="A213:D219" xr:uid="{00000000-0009-0000-0100-00000A000000}">
    <filterColumn colId="0" hiddenButton="1"/>
    <filterColumn colId="1" hiddenButton="1"/>
    <filterColumn colId="2" hiddenButton="1"/>
    <filterColumn colId="3" hiddenButton="1"/>
  </autoFilter>
  <tableColumns count="4">
    <tableColumn id="1" xr3:uid="{00000000-0010-0000-0400-000001000000}" name="Sheet"/>
    <tableColumn id="2" xr3:uid="{00000000-0010-0000-0400-000002000000}" name="Cost Type"/>
    <tableColumn id="3" xr3:uid="{00000000-0010-0000-0400-000003000000}" name="Concat Cost Names"/>
    <tableColumn id="4" xr3:uid="{00000000-0010-0000-0400-000004000000}" name="Total"/>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able11" displayName="Table11" ref="A231:E254" totalsRowShown="0" headerRowDxfId="142">
  <autoFilter ref="A231:E254" xr:uid="{00000000-0009-0000-0100-00000B000000}">
    <filterColumn colId="0" hiddenButton="1"/>
    <filterColumn colId="1" hiddenButton="1"/>
    <filterColumn colId="2" hiddenButton="1"/>
    <filterColumn colId="3" hiddenButton="1"/>
    <filterColumn colId="4" hiddenButton="1"/>
  </autoFilter>
  <tableColumns count="5">
    <tableColumn id="1" xr3:uid="{00000000-0010-0000-0500-000001000000}" name="Sheet"/>
    <tableColumn id="2" xr3:uid="{00000000-0010-0000-0500-000002000000}" name="Number of Bedrooms">
      <calculatedColumnFormula>IF('Project Income &amp; UA'!E33="","",'Project Income &amp; UA'!E33)</calculatedColumnFormula>
    </tableColumn>
    <tableColumn id="3" xr3:uid="{00000000-0010-0000-0500-000003000000}" name="AMI" dataDxfId="141" dataCellStyle="Percent">
      <calculatedColumnFormula>IF('Project Income &amp; UA'!F33="","",'Project Income &amp; UA'!F33)</calculatedColumnFormula>
    </tableColumn>
    <tableColumn id="4" xr3:uid="{00000000-0010-0000-0500-000004000000}" name="Number of Units">
      <calculatedColumnFormula>IF('Project Income &amp; UA'!G33="","",'Project Income &amp; UA'!G33)</calculatedColumnFormula>
    </tableColumn>
    <tableColumn id="5" xr3:uid="{00000000-0010-0000-0500-000005000000}" name="Collectible Rent">
      <calculatedColumnFormula>IF('Project Income &amp; UA'!J33=0,"",'Project Income &amp; UA'!J33)</calculatedColumnFormula>
    </tableColumn>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Table13" displayName="Table13" ref="G231:J255" totalsRowCount="1" headerRowDxfId="140" tableBorderDxfId="139">
  <autoFilter ref="G231:J254" xr:uid="{00000000-0009-0000-0100-00000D000000}">
    <filterColumn colId="0" hiddenButton="1"/>
    <filterColumn colId="1" hiddenButton="1"/>
    <filterColumn colId="2" hiddenButton="1"/>
    <filterColumn colId="3" hiddenButton="1"/>
  </autoFilter>
  <tableColumns count="4">
    <tableColumn id="1" xr3:uid="{00000000-0010-0000-0600-000001000000}" name="Unit Type" totalsRowLabel="Total" dataDxfId="138">
      <calculatedColumnFormula>IF(B232=0,"Efficiency",IF(B232=1,"1BR, 1BA",IF(B232=2,"2BR, 1BA",IF(B232=3,"3BR, 1BA",IF(B232=4,"4BR, 1BA",IF(B232=5,"5BR, 1BA",IF(B232=6,"6BR or More","")))))))</calculatedColumnFormula>
    </tableColumn>
    <tableColumn id="2" xr3:uid="{00000000-0010-0000-0600-000002000000}" name="Unit Mix Ami Percent" dataDxfId="137" totalsRowDxfId="136" dataCellStyle="Percent">
      <calculatedColumnFormula>IF(C232="","",IF(LEN(Table11[[#This Row],[AMI]])&gt;3,LEFT(Table11[[#This Row],[AMI]],3),IF(Table11[[#This Row],[AMI]]="Mkt","",C232)))</calculatedColumnFormula>
    </tableColumn>
    <tableColumn id="3" xr3:uid="{00000000-0010-0000-0600-000003000000}" name="Num Units" totalsRowFunction="sum">
      <calculatedColumnFormula>IF(D232="","",D232)</calculatedColumnFormula>
    </tableColumn>
    <tableColumn id="4" xr3:uid="{00000000-0010-0000-0600-000004000000}" name="Base Rent">
      <calculatedColumnFormula>IF(E232="","",E232)</calculatedColumnFormula>
    </tableColumn>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Table14" displayName="Table14" ref="L231:O255" totalsRowCount="1" headerRowDxfId="135" tableBorderDxfId="134">
  <autoFilter ref="L231:O254" xr:uid="{00000000-0009-0000-0100-00000E000000}">
    <filterColumn colId="0" hiddenButton="1"/>
    <filterColumn colId="1" hiddenButton="1"/>
    <filterColumn colId="2" hiddenButton="1"/>
    <filterColumn colId="3" hiddenButton="1"/>
  </autoFilter>
  <tableColumns count="4">
    <tableColumn id="1" xr3:uid="{00000000-0010-0000-0700-000001000000}" name="TC Unit Mix Type" dataDxfId="133" totalsRowDxfId="132">
      <calculatedColumnFormula>IF(B232=0,"Efficiency",IF(B232=1,"1 Bedroom",IF(B232=2,"2 Bedroom",IF(B232=3,"3 Bedroom",IF(B232=4,"4 Bedroom",IF(B232=5,"5 Bedroom",IF(B232=6,"6 Bedroom","")))))))</calculatedColumnFormula>
    </tableColumn>
    <tableColumn id="2" xr3:uid="{00000000-0010-0000-0700-000002000000}" name="Income Target" dataDxfId="131" totalsRowDxfId="130" dataCellStyle="Percent">
      <calculatedColumnFormula>IF(C232="","",IF(LEN(Table11[[#This Row],[AMI]])&gt;3,LEFT(Table11[[#This Row],[AMI]],3),IF(Table11[[#This Row],[AMI]]="Mkt","Market",C232)))</calculatedColumnFormula>
    </tableColumn>
    <tableColumn id="3" xr3:uid="{00000000-0010-0000-0700-000003000000}" name="TC Num Units" totalsRowFunction="custom" dataDxfId="129" totalsRowDxfId="128">
      <calculatedColumnFormula>IF(D232="","",D232)</calculatedColumnFormula>
      <totalsRowFormula>SUM(Table14[TC Num Units])</totalsRowFormula>
    </tableColumn>
    <tableColumn id="4" xr3:uid="{00000000-0010-0000-0700-000004000000}" name="Monthly Rent Per Unit" dataDxfId="127" totalsRowDxfId="126">
      <calculatedColumnFormula>IF(E232="","",E232)</calculatedColumnFormula>
    </tableColumn>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Table15" displayName="Table15" ref="L213:M219" totalsRowShown="0" headerRowDxfId="125">
  <autoFilter ref="L213:M219" xr:uid="{00000000-0009-0000-0100-00000F000000}">
    <filterColumn colId="0" hiddenButton="1"/>
    <filterColumn colId="1" hiddenButton="1"/>
  </autoFilter>
  <tableColumns count="2">
    <tableColumn id="1" xr3:uid="{00000000-0010-0000-0800-000001000000}" name="TC UDF Name" dataDxfId="124">
      <calculatedColumnFormula>G214</calculatedColumnFormula>
    </tableColumn>
    <tableColumn id="2" xr3:uid="{00000000-0010-0000-0800-000002000000}" name="TC UDF Amount" dataDxfId="123">
      <calculatedColumnFormula>H214</calculatedColumnFormula>
    </tableColumn>
  </tableColumns>
  <tableStyleInfo name="TableStyleLight8" showFirstColumn="0" showLastColumn="0" showRowStripes="1" showColumnStripes="0"/>
</table>
</file>

<file path=xl/theme/theme1.xml><?xml version="1.0" encoding="utf-8"?>
<a:theme xmlns:a="http://schemas.openxmlformats.org/drawingml/2006/main" name="MaineHousing">
  <a:themeElements>
    <a:clrScheme name="MaineHousing">
      <a:dk1>
        <a:srgbClr val="000000"/>
      </a:dk1>
      <a:lt1>
        <a:srgbClr val="FFFFFF"/>
      </a:lt1>
      <a:dk2>
        <a:srgbClr val="363B73"/>
      </a:dk2>
      <a:lt2>
        <a:srgbClr val="EEECE1"/>
      </a:lt2>
      <a:accent1>
        <a:srgbClr val="363B73"/>
      </a:accent1>
      <a:accent2>
        <a:srgbClr val="AFBD20"/>
      </a:accent2>
      <a:accent3>
        <a:srgbClr val="E9A713"/>
      </a:accent3>
      <a:accent4>
        <a:srgbClr val="E4701D"/>
      </a:accent4>
      <a:accent5>
        <a:srgbClr val="7379BD"/>
      </a:accent5>
      <a:accent6>
        <a:srgbClr val="DAE56A"/>
      </a:accent6>
      <a:hlink>
        <a:srgbClr val="0000FF"/>
      </a:hlink>
      <a:folHlink>
        <a:srgbClr val="800080"/>
      </a:folHlink>
    </a:clrScheme>
    <a:fontScheme name="MaineHousing">
      <a:majorFont>
        <a:latin typeface="Arial"/>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hyperlink" Target="https://mainehousing.org/partners/partner-type/asset-management" TargetMode="External"/><Relationship Id="rId1" Type="http://schemas.openxmlformats.org/officeDocument/2006/relationships/hyperlink" Target="https://mainehousing.org/charts/rent-income-charts" TargetMode="External"/><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trlProp" Target="../ctrlProps/ctrlProp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26.bin"/><Relationship Id="rId4" Type="http://schemas.openxmlformats.org/officeDocument/2006/relationships/comments" Target="../comments4.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27.bin"/><Relationship Id="rId4" Type="http://schemas.openxmlformats.org/officeDocument/2006/relationships/comments" Target="../comments5.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vmlDrawing" Target="../drawings/vmlDrawing12.v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comments" Target="../comments6.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9.bin"/><Relationship Id="rId1" Type="http://schemas.openxmlformats.org/officeDocument/2006/relationships/hyperlink" Target="https://www.hudexchange.info/resource/2315/home-per-unit-subsidy/" TargetMode="External"/><Relationship Id="rId4" Type="http://schemas.openxmlformats.org/officeDocument/2006/relationships/comments" Target="../comments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3:I48"/>
  <sheetViews>
    <sheetView showGridLines="0" tabSelected="1" topLeftCell="A20" zoomScale="90" zoomScaleNormal="90" zoomScaleSheetLayoutView="100" workbookViewId="0">
      <selection activeCell="H48" sqref="H48"/>
    </sheetView>
  </sheetViews>
  <sheetFormatPr defaultRowHeight="12.6" x14ac:dyDescent="0.25"/>
  <sheetData>
    <row r="13" spans="1:9" ht="30" x14ac:dyDescent="0.5">
      <c r="A13" s="5" t="s">
        <v>40</v>
      </c>
      <c r="B13" s="4"/>
      <c r="C13" s="4"/>
      <c r="D13" s="4"/>
      <c r="E13" s="4"/>
      <c r="F13" s="4"/>
      <c r="G13" s="4"/>
      <c r="H13" s="4"/>
      <c r="I13" s="1"/>
    </row>
    <row r="14" spans="1:9" ht="13.2" x14ac:dyDescent="0.25">
      <c r="A14" s="3"/>
      <c r="B14" s="4"/>
      <c r="C14" s="4"/>
      <c r="D14" s="4"/>
      <c r="E14" s="4"/>
      <c r="F14" s="4"/>
      <c r="G14" s="4"/>
      <c r="H14" s="4"/>
      <c r="I14" s="1"/>
    </row>
    <row r="15" spans="1:9" ht="30" x14ac:dyDescent="0.5">
      <c r="A15" s="5" t="s">
        <v>1786</v>
      </c>
      <c r="B15" s="4"/>
      <c r="C15" s="4"/>
      <c r="D15" s="4"/>
      <c r="E15" s="4"/>
      <c r="F15" s="4"/>
      <c r="G15" s="4"/>
      <c r="H15" s="4"/>
      <c r="I15" s="1"/>
    </row>
    <row r="16" spans="1:9" ht="13.2" x14ac:dyDescent="0.25">
      <c r="A16" s="3"/>
      <c r="B16" s="4"/>
      <c r="C16" s="4"/>
      <c r="D16" s="4"/>
      <c r="E16" s="4"/>
      <c r="F16" s="4"/>
      <c r="G16" s="4"/>
      <c r="H16" s="4"/>
      <c r="I16" s="1"/>
    </row>
    <row r="17" spans="1:9" ht="30" x14ac:dyDescent="0.5">
      <c r="A17" s="5" t="s">
        <v>698</v>
      </c>
      <c r="B17" s="4"/>
      <c r="C17" s="4"/>
      <c r="D17" s="4"/>
      <c r="E17" s="4"/>
      <c r="F17" s="4"/>
      <c r="G17" s="4"/>
      <c r="H17" s="4"/>
      <c r="I17" s="1"/>
    </row>
    <row r="45" spans="1:9" ht="24" customHeight="1" x14ac:dyDescent="0.25">
      <c r="A45" s="295"/>
      <c r="B45" s="295"/>
      <c r="C45" s="295"/>
      <c r="D45" s="295"/>
      <c r="F45" s="296"/>
    </row>
    <row r="48" spans="1:9" x14ac:dyDescent="0.25">
      <c r="I48" s="531" t="s">
        <v>1804</v>
      </c>
    </row>
  </sheetData>
  <sheetProtection algorithmName="SHA-512" hashValue="dIq7by/g9Wf1L1H1gvkPz4P6R7qeqT9EBjjTQSxEbSATFnQfx1LVK1aHy8ZoHUc88EwIfke+s9s0oObufI5v2Q==" saltValue="cgsJQANQji0ZnF/cIQp+lA==" spinCount="100000" sheet="1" objects="1" scenarios="1" selectLockedCells="1" selectUnlockedCells="1"/>
  <phoneticPr fontId="11" type="noConversion"/>
  <pageMargins left="0.81" right="0.75" top="0.83" bottom="1" header="0.5" footer="0.5"/>
  <pageSetup orientation="portrait" r:id="rId1"/>
  <headerFooter alignWithMargins="0"/>
  <drawing r:id="rId2"/>
  <legacyDrawing r:id="rId3"/>
  <oleObjects>
    <mc:AlternateContent xmlns:mc="http://schemas.openxmlformats.org/markup-compatibility/2006">
      <mc:Choice Requires="x14">
        <oleObject progId="MSPhotoEd.3" shapeId="18440" r:id="rId4">
          <objectPr defaultSize="0" autoPict="0" r:id="rId5">
            <anchor moveWithCells="1">
              <from>
                <xdr:col>2</xdr:col>
                <xdr:colOff>190500</xdr:colOff>
                <xdr:row>5</xdr:row>
                <xdr:rowOff>60960</xdr:rowOff>
              </from>
              <to>
                <xdr:col>6</xdr:col>
                <xdr:colOff>419100</xdr:colOff>
                <xdr:row>8</xdr:row>
                <xdr:rowOff>99060</xdr:rowOff>
              </to>
            </anchor>
          </objectPr>
        </oleObject>
      </mc:Choice>
      <mc:Fallback>
        <oleObject progId="MSPhotoEd.3" shapeId="18440"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4"/>
  <dimension ref="A1:K20"/>
  <sheetViews>
    <sheetView zoomScale="110" zoomScaleNormal="110" zoomScaleSheetLayoutView="100" workbookViewId="0"/>
  </sheetViews>
  <sheetFormatPr defaultColWidth="9.109375" defaultRowHeight="13.2" x14ac:dyDescent="0.25"/>
  <cols>
    <col min="1" max="1" width="3.6640625" style="306" customWidth="1"/>
    <col min="2" max="10" width="9.109375" style="306"/>
    <col min="11" max="11" width="3.6640625" style="306" customWidth="1"/>
    <col min="12" max="16384" width="9.109375" style="306"/>
  </cols>
  <sheetData>
    <row r="1" spans="1:10" x14ac:dyDescent="0.25">
      <c r="A1" s="305" t="s">
        <v>588</v>
      </c>
      <c r="J1" s="793" t="str">
        <f>'Project Information'!D4</f>
        <v>Project Name</v>
      </c>
    </row>
    <row r="2" spans="1:10" x14ac:dyDescent="0.25">
      <c r="A2" s="305"/>
    </row>
    <row r="3" spans="1:10" x14ac:dyDescent="0.25">
      <c r="A3" s="305"/>
    </row>
    <row r="4" spans="1:10" x14ac:dyDescent="0.25">
      <c r="A4" s="305"/>
      <c r="C4" s="794" t="s">
        <v>897</v>
      </c>
    </row>
    <row r="6" spans="1:10" s="307" customFormat="1" ht="10.199999999999999" x14ac:dyDescent="0.2">
      <c r="C6" s="795" t="s">
        <v>898</v>
      </c>
      <c r="D6" s="796"/>
      <c r="E6" s="797" t="s">
        <v>899</v>
      </c>
      <c r="F6" s="795" t="s">
        <v>900</v>
      </c>
      <c r="G6" s="796"/>
      <c r="H6" s="797" t="s">
        <v>901</v>
      </c>
      <c r="I6" s="798" t="s">
        <v>902</v>
      </c>
      <c r="J6" s="799"/>
    </row>
    <row r="7" spans="1:10" s="307" customFormat="1" ht="10.199999999999999" x14ac:dyDescent="0.2">
      <c r="C7" s="800" t="s">
        <v>903</v>
      </c>
      <c r="D7" s="801"/>
      <c r="E7" s="802" t="s">
        <v>904</v>
      </c>
      <c r="F7" s="800" t="s">
        <v>905</v>
      </c>
      <c r="G7" s="801"/>
      <c r="H7" s="802" t="s">
        <v>906</v>
      </c>
      <c r="I7" s="803" t="s">
        <v>907</v>
      </c>
      <c r="J7" s="804"/>
    </row>
    <row r="8" spans="1:10" s="307" customFormat="1" ht="10.8" thickBot="1" x14ac:dyDescent="0.25">
      <c r="B8" s="805" t="s">
        <v>908</v>
      </c>
      <c r="C8" s="803"/>
      <c r="D8" s="804"/>
      <c r="E8" s="802" t="s">
        <v>909</v>
      </c>
      <c r="F8" s="800" t="s">
        <v>910</v>
      </c>
      <c r="G8" s="801"/>
      <c r="H8" s="802" t="s">
        <v>3</v>
      </c>
      <c r="I8" s="803" t="s">
        <v>911</v>
      </c>
      <c r="J8" s="804"/>
    </row>
    <row r="9" spans="1:10" s="806" customFormat="1" ht="24.9" customHeight="1" thickBot="1" x14ac:dyDescent="0.3">
      <c r="B9" s="807">
        <v>1</v>
      </c>
      <c r="C9" s="1588"/>
      <c r="D9" s="1589"/>
      <c r="E9" s="808"/>
      <c r="F9" s="1586"/>
      <c r="G9" s="1587"/>
      <c r="H9" s="809"/>
      <c r="I9" s="1588"/>
      <c r="J9" s="1589"/>
    </row>
    <row r="10" spans="1:10" s="806" customFormat="1" ht="24.9" customHeight="1" thickBot="1" x14ac:dyDescent="0.3">
      <c r="B10" s="810">
        <f>B9+1</f>
        <v>2</v>
      </c>
      <c r="C10" s="1586"/>
      <c r="D10" s="1587"/>
      <c r="E10" s="809"/>
      <c r="F10" s="1586"/>
      <c r="G10" s="1587"/>
      <c r="H10" s="809"/>
      <c r="I10" s="1588"/>
      <c r="J10" s="1589"/>
    </row>
    <row r="11" spans="1:10" s="806" customFormat="1" ht="24.9" customHeight="1" thickBot="1" x14ac:dyDescent="0.3">
      <c r="B11" s="810">
        <f>B10+1</f>
        <v>3</v>
      </c>
      <c r="C11" s="1586"/>
      <c r="D11" s="1587"/>
      <c r="E11" s="809"/>
      <c r="F11" s="1588"/>
      <c r="G11" s="1589"/>
      <c r="H11" s="809"/>
      <c r="I11" s="1588"/>
      <c r="J11" s="1589"/>
    </row>
    <row r="12" spans="1:10" s="806" customFormat="1" ht="24.9" customHeight="1" thickBot="1" x14ac:dyDescent="0.3">
      <c r="B12" s="810">
        <f>B11+1</f>
        <v>4</v>
      </c>
      <c r="C12" s="1586"/>
      <c r="D12" s="1587"/>
      <c r="E12" s="809"/>
      <c r="F12" s="1588"/>
      <c r="G12" s="1589"/>
      <c r="H12" s="809"/>
      <c r="I12" s="1588"/>
      <c r="J12" s="1589"/>
    </row>
    <row r="13" spans="1:10" s="806" customFormat="1" ht="24.9" customHeight="1" thickBot="1" x14ac:dyDescent="0.3">
      <c r="B13" s="810">
        <f>B12+1</f>
        <v>5</v>
      </c>
      <c r="C13" s="1584"/>
      <c r="D13" s="1585"/>
      <c r="E13" s="322"/>
      <c r="F13" s="1514"/>
      <c r="G13" s="1516"/>
      <c r="H13" s="322"/>
      <c r="I13" s="1514"/>
      <c r="J13" s="1516"/>
    </row>
    <row r="14" spans="1:10" s="806" customFormat="1" ht="10.199999999999999" x14ac:dyDescent="0.2">
      <c r="C14" s="806" t="s">
        <v>912</v>
      </c>
    </row>
    <row r="15" spans="1:10" s="806" customFormat="1" ht="10.199999999999999" x14ac:dyDescent="0.2"/>
    <row r="16" spans="1:10" x14ac:dyDescent="0.25">
      <c r="A16" s="305" t="s">
        <v>616</v>
      </c>
    </row>
    <row r="20" spans="1:11" ht="24" customHeight="1" x14ac:dyDescent="0.25">
      <c r="A20" s="307"/>
      <c r="B20" s="307"/>
      <c r="C20" s="307"/>
      <c r="D20" s="307"/>
      <c r="E20" s="307"/>
      <c r="F20" s="307"/>
      <c r="G20" s="307"/>
      <c r="H20" s="307"/>
      <c r="I20" s="307"/>
      <c r="K20" s="308"/>
    </row>
  </sheetData>
  <sheetProtection algorithmName="SHA-512" hashValue="ZMroDRYVSNcJWoRC4BL9KzXu7tAw1Akm9iqIGFgMeIApEdAVWVy22Xa92bgtyHHf8nrnEyxcH2BJDu8x2kXaWA==" saltValue="nnl9nRVNR0tSW9Xh5fh0Kg==" spinCount="100000" sheet="1" objects="1" scenarios="1"/>
  <mergeCells count="15">
    <mergeCell ref="C9:D9"/>
    <mergeCell ref="F9:G9"/>
    <mergeCell ref="I9:J9"/>
    <mergeCell ref="C10:D10"/>
    <mergeCell ref="F10:G10"/>
    <mergeCell ref="I10:J10"/>
    <mergeCell ref="C13:D13"/>
    <mergeCell ref="F13:G13"/>
    <mergeCell ref="I13:J13"/>
    <mergeCell ref="C11:D11"/>
    <mergeCell ref="F11:G11"/>
    <mergeCell ref="I11:J11"/>
    <mergeCell ref="C12:D12"/>
    <mergeCell ref="F12:G12"/>
    <mergeCell ref="I12:J12"/>
  </mergeCells>
  <printOptions horizontalCentered="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0"/>
  <dimension ref="A1:J40"/>
  <sheetViews>
    <sheetView showGridLines="0" zoomScale="110" zoomScaleNormal="110" zoomScaleSheetLayoutView="100" workbookViewId="0"/>
  </sheetViews>
  <sheetFormatPr defaultColWidth="9.109375" defaultRowHeight="11.4" x14ac:dyDescent="0.2"/>
  <cols>
    <col min="1" max="1" width="9.109375" style="334"/>
    <col min="2" max="3" width="6.6640625" style="334" customWidth="1"/>
    <col min="4" max="4" width="9.109375" style="334"/>
    <col min="5" max="5" width="4.6640625" style="334" customWidth="1"/>
    <col min="6" max="9" width="9.109375" style="334"/>
    <col min="10" max="10" width="9.109375" style="334" customWidth="1"/>
    <col min="11" max="16384" width="9.109375" style="334"/>
  </cols>
  <sheetData>
    <row r="1" spans="1:10" s="347" customFormat="1" ht="12.75" customHeight="1" x14ac:dyDescent="0.25">
      <c r="A1" s="246" t="s">
        <v>588</v>
      </c>
      <c r="B1" s="346"/>
      <c r="C1" s="238"/>
      <c r="J1" s="535" t="str">
        <f>'Project Information'!D4</f>
        <v>Project Name</v>
      </c>
    </row>
    <row r="2" spans="1:10" s="302" customFormat="1" ht="13.2" x14ac:dyDescent="0.25">
      <c r="A2" s="303"/>
    </row>
    <row r="3" spans="1:10" s="302" customFormat="1" ht="13.2" x14ac:dyDescent="0.25">
      <c r="A3" s="1590" t="s">
        <v>640</v>
      </c>
      <c r="B3" s="1590"/>
      <c r="C3" s="1590"/>
      <c r="D3" s="1590"/>
      <c r="E3" s="1590"/>
      <c r="F3" s="1590"/>
      <c r="G3" s="1590"/>
      <c r="H3" s="1590"/>
      <c r="I3" s="1590"/>
      <c r="J3" s="1590"/>
    </row>
    <row r="4" spans="1:10" s="302" customFormat="1" ht="13.2" x14ac:dyDescent="0.25">
      <c r="A4" s="303"/>
    </row>
    <row r="5" spans="1:10" s="302" customFormat="1" ht="95.1" customHeight="1" x14ac:dyDescent="0.25">
      <c r="A5" s="1591" t="s">
        <v>675</v>
      </c>
      <c r="B5" s="1591"/>
      <c r="C5" s="1591"/>
      <c r="D5" s="1591"/>
      <c r="E5" s="1591"/>
      <c r="F5" s="1591"/>
      <c r="G5" s="1591"/>
      <c r="H5" s="1591"/>
      <c r="I5" s="1591"/>
      <c r="J5" s="1591"/>
    </row>
    <row r="6" spans="1:10" s="302" customFormat="1" ht="13.8" thickBot="1" x14ac:dyDescent="0.3">
      <c r="A6" s="304"/>
      <c r="B6" s="304"/>
      <c r="C6" s="304"/>
      <c r="D6" s="304"/>
      <c r="E6" s="304"/>
      <c r="F6" s="333"/>
      <c r="G6" s="304"/>
      <c r="H6" s="304"/>
      <c r="I6" s="304"/>
      <c r="J6" s="304"/>
    </row>
    <row r="7" spans="1:10" ht="12.6" thickTop="1" thickBot="1" x14ac:dyDescent="0.25"/>
    <row r="8" spans="1:10" ht="17.100000000000001" customHeight="1" thickBot="1" x14ac:dyDescent="0.25">
      <c r="B8" s="334" t="s">
        <v>661</v>
      </c>
      <c r="D8" s="336"/>
      <c r="E8" s="336"/>
      <c r="H8" s="344"/>
    </row>
    <row r="10" spans="1:10" ht="15" customHeight="1" thickBot="1" x14ac:dyDescent="0.25">
      <c r="B10" s="334" t="s">
        <v>662</v>
      </c>
    </row>
    <row r="11" spans="1:10" ht="17.100000000000001" customHeight="1" thickBot="1" x14ac:dyDescent="0.25">
      <c r="B11" s="334" t="s">
        <v>663</v>
      </c>
      <c r="D11" s="337"/>
      <c r="F11" s="335" t="s">
        <v>641</v>
      </c>
      <c r="G11" s="337"/>
    </row>
    <row r="12" spans="1:10" ht="17.100000000000001" customHeight="1" x14ac:dyDescent="0.2">
      <c r="B12" s="345"/>
      <c r="D12" s="335"/>
      <c r="E12" s="345"/>
    </row>
    <row r="13" spans="1:10" ht="12" thickBot="1" x14ac:dyDescent="0.25"/>
    <row r="14" spans="1:10" s="338" customFormat="1" ht="17.100000000000001" customHeight="1" thickBot="1" x14ac:dyDescent="0.3">
      <c r="B14" s="338" t="s">
        <v>642</v>
      </c>
      <c r="F14" s="339"/>
      <c r="G14" s="338" t="s">
        <v>643</v>
      </c>
    </row>
    <row r="15" spans="1:10" s="338" customFormat="1" ht="6" customHeight="1" thickBot="1" x14ac:dyDescent="0.3">
      <c r="F15" s="340"/>
    </row>
    <row r="16" spans="1:10" s="338" customFormat="1" ht="17.100000000000001" customHeight="1" thickBot="1" x14ac:dyDescent="0.3">
      <c r="B16" s="338" t="s">
        <v>644</v>
      </c>
      <c r="F16" s="339"/>
      <c r="G16" s="338" t="s">
        <v>643</v>
      </c>
    </row>
    <row r="17" spans="2:7" s="338" customFormat="1" ht="6" customHeight="1" thickBot="1" x14ac:dyDescent="0.3">
      <c r="F17" s="340"/>
    </row>
    <row r="18" spans="2:7" s="338" customFormat="1" ht="17.100000000000001" customHeight="1" thickBot="1" x14ac:dyDescent="0.3">
      <c r="B18" s="338" t="s">
        <v>645</v>
      </c>
      <c r="F18" s="339"/>
      <c r="G18" s="338" t="s">
        <v>643</v>
      </c>
    </row>
    <row r="19" spans="2:7" s="338" customFormat="1" ht="6" customHeight="1" thickBot="1" x14ac:dyDescent="0.3">
      <c r="F19" s="340"/>
    </row>
    <row r="20" spans="2:7" s="338" customFormat="1" ht="17.100000000000001" customHeight="1" thickBot="1" x14ac:dyDescent="0.3">
      <c r="B20" s="338" t="s">
        <v>646</v>
      </c>
      <c r="F20" s="339"/>
      <c r="G20" s="338" t="s">
        <v>643</v>
      </c>
    </row>
    <row r="21" spans="2:7" s="338" customFormat="1" ht="6" customHeight="1" thickBot="1" x14ac:dyDescent="0.3">
      <c r="F21" s="341"/>
    </row>
    <row r="22" spans="2:7" s="338" customFormat="1" ht="17.100000000000001" customHeight="1" thickBot="1" x14ac:dyDescent="0.3">
      <c r="B22" s="338" t="s">
        <v>647</v>
      </c>
      <c r="F22" s="339"/>
      <c r="G22" s="338" t="s">
        <v>643</v>
      </c>
    </row>
    <row r="23" spans="2:7" s="338" customFormat="1" ht="6" customHeight="1" thickBot="1" x14ac:dyDescent="0.3">
      <c r="F23" s="342"/>
    </row>
    <row r="24" spans="2:7" s="338" customFormat="1" ht="17.100000000000001" customHeight="1" thickBot="1" x14ac:dyDescent="0.3">
      <c r="B24" s="338" t="s">
        <v>648</v>
      </c>
      <c r="F24" s="339"/>
      <c r="G24" s="338" t="s">
        <v>643</v>
      </c>
    </row>
    <row r="25" spans="2:7" s="338" customFormat="1" ht="6" customHeight="1" thickBot="1" x14ac:dyDescent="0.3">
      <c r="F25" s="342"/>
    </row>
    <row r="26" spans="2:7" s="338" customFormat="1" ht="17.100000000000001" customHeight="1" thickBot="1" x14ac:dyDescent="0.3">
      <c r="B26" s="338" t="s">
        <v>649</v>
      </c>
      <c r="F26" s="339"/>
      <c r="G26" s="338" t="s">
        <v>643</v>
      </c>
    </row>
    <row r="27" spans="2:7" s="338" customFormat="1" ht="6" customHeight="1" thickBot="1" x14ac:dyDescent="0.3">
      <c r="F27" s="342"/>
    </row>
    <row r="28" spans="2:7" s="338" customFormat="1" ht="17.100000000000001" customHeight="1" thickBot="1" x14ac:dyDescent="0.3">
      <c r="B28" s="338" t="s">
        <v>650</v>
      </c>
      <c r="F28" s="339"/>
      <c r="G28" s="338" t="s">
        <v>643</v>
      </c>
    </row>
    <row r="29" spans="2:7" s="338" customFormat="1" ht="6" customHeight="1" thickBot="1" x14ac:dyDescent="0.3">
      <c r="F29" s="342"/>
    </row>
    <row r="30" spans="2:7" s="338" customFormat="1" ht="17.100000000000001" customHeight="1" thickBot="1" x14ac:dyDescent="0.3">
      <c r="B30" s="338" t="s">
        <v>651</v>
      </c>
      <c r="F30" s="339"/>
      <c r="G30" s="338" t="s">
        <v>643</v>
      </c>
    </row>
    <row r="31" spans="2:7" s="338" customFormat="1" ht="6" customHeight="1" thickBot="1" x14ac:dyDescent="0.3">
      <c r="F31" s="342"/>
    </row>
    <row r="32" spans="2:7" s="338" customFormat="1" ht="17.100000000000001" customHeight="1" thickBot="1" x14ac:dyDescent="0.3">
      <c r="B32" s="338" t="s">
        <v>652</v>
      </c>
      <c r="F32" s="339"/>
      <c r="G32" s="338" t="s">
        <v>643</v>
      </c>
    </row>
    <row r="33" spans="1:10" s="338" customFormat="1" ht="6" customHeight="1" thickBot="1" x14ac:dyDescent="0.3">
      <c r="F33" s="340"/>
    </row>
    <row r="34" spans="1:10" s="338" customFormat="1" ht="17.100000000000001" customHeight="1" thickBot="1" x14ac:dyDescent="0.3">
      <c r="B34" s="338" t="s">
        <v>653</v>
      </c>
      <c r="F34" s="339"/>
      <c r="G34" s="338" t="s">
        <v>643</v>
      </c>
    </row>
    <row r="35" spans="1:10" s="338" customFormat="1" ht="21" customHeight="1" x14ac:dyDescent="0.25">
      <c r="F35" s="340"/>
    </row>
    <row r="36" spans="1:10" s="338" customFormat="1" ht="17.100000000000001" customHeight="1" x14ac:dyDescent="0.25">
      <c r="B36" s="338" t="s">
        <v>278</v>
      </c>
      <c r="F36" s="343">
        <f>F14+F16+F18+F20+F22+F24+F26+F28+F30+F32+F34</f>
        <v>0</v>
      </c>
      <c r="G36" s="338" t="s">
        <v>643</v>
      </c>
    </row>
    <row r="37" spans="1:10" ht="12" customHeight="1" x14ac:dyDescent="0.2"/>
    <row r="40" spans="1:10" s="248" customFormat="1" ht="24" customHeight="1" x14ac:dyDescent="0.25">
      <c r="A40" s="243"/>
      <c r="B40" s="243"/>
      <c r="C40" s="243"/>
      <c r="D40" s="243"/>
      <c r="E40" s="243"/>
      <c r="F40" s="243"/>
      <c r="G40" s="243"/>
      <c r="H40" s="243"/>
      <c r="J40" s="249"/>
    </row>
  </sheetData>
  <sheetProtection algorithmName="SHA-512" hashValue="0IonZZ36A5+LNVcky8dwyLXriE8I/HzJPDlO/oaLeH6dClzOw1R7MF3awUBPDhvSjIxtoedQ9X//+Yq2WKVefA==" saltValue="+MNowmKQcF13KhC1uWn4jQ==" spinCount="100000" sheet="1" objects="1" scenarios="1"/>
  <mergeCells count="2">
    <mergeCell ref="A3:J3"/>
    <mergeCell ref="A5:J5"/>
  </mergeCells>
  <printOptions horizontalCentered="1"/>
  <pageMargins left="0.5" right="0.5" top="0.5" bottom="0.25" header="0.5" footer="0.5"/>
  <pageSetup scale="91" orientation="portrait" r:id="rId1"/>
  <headerFooter alignWithMargins="0"/>
  <rowBreaks count="1" manualBreakCount="1">
    <brk id="3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Button 1">
              <controlPr defaultSize="0" print="0" autoFill="0" autoPict="0" macro="[0]!GoSheetBack">
                <anchor moveWithCells="1" sizeWithCells="1">
                  <from>
                    <xdr:col>3</xdr:col>
                    <xdr:colOff>0</xdr:colOff>
                    <xdr:row>39</xdr:row>
                    <xdr:rowOff>38100</xdr:rowOff>
                  </from>
                  <to>
                    <xdr:col>4</xdr:col>
                    <xdr:colOff>182880</xdr:colOff>
                    <xdr:row>39</xdr:row>
                    <xdr:rowOff>289560</xdr:rowOff>
                  </to>
                </anchor>
              </controlPr>
            </control>
          </mc:Choice>
        </mc:AlternateContent>
        <mc:AlternateContent xmlns:mc="http://schemas.openxmlformats.org/markup-compatibility/2006">
          <mc:Choice Requires="x14">
            <control shapeId="166914" r:id="rId5" name="Button 2">
              <controlPr defaultSize="0" print="0" autoFill="0" autoPict="0" macro="[0]!GoSheetNext">
                <anchor moveWithCells="1" sizeWithCells="1">
                  <from>
                    <xdr:col>6</xdr:col>
                    <xdr:colOff>388620</xdr:colOff>
                    <xdr:row>39</xdr:row>
                    <xdr:rowOff>30480</xdr:rowOff>
                  </from>
                  <to>
                    <xdr:col>8</xdr:col>
                    <xdr:colOff>289560</xdr:colOff>
                    <xdr:row>39</xdr:row>
                    <xdr:rowOff>289560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dimension ref="A1:T144"/>
  <sheetViews>
    <sheetView showGridLines="0" topLeftCell="A107" zoomScaleNormal="100" zoomScaleSheetLayoutView="100" workbookViewId="0">
      <selection activeCell="V77" sqref="V77"/>
    </sheetView>
  </sheetViews>
  <sheetFormatPr defaultColWidth="9.109375" defaultRowHeight="13.2" x14ac:dyDescent="0.25"/>
  <cols>
    <col min="1" max="1" width="1.6640625" style="813" customWidth="1"/>
    <col min="2" max="2" width="5.6640625" style="813" customWidth="1"/>
    <col min="3" max="3" width="2.6640625" style="813" customWidth="1"/>
    <col min="4" max="6" width="12.6640625" style="813" customWidth="1"/>
    <col min="7" max="7" width="2.6640625" style="813" customWidth="1"/>
    <col min="8" max="8" width="6.6640625" style="813" customWidth="1"/>
    <col min="9" max="9" width="2.6640625" style="813" customWidth="1"/>
    <col min="10" max="10" width="11.44140625" style="813" bestFit="1" customWidth="1"/>
    <col min="11" max="11" width="2.6640625" style="813" customWidth="1"/>
    <col min="12" max="12" width="7.6640625" style="813" customWidth="1"/>
    <col min="13" max="13" width="2.6640625" style="813" customWidth="1"/>
    <col min="14" max="14" width="9.109375" style="840"/>
    <col min="15" max="15" width="2.6640625" style="813" customWidth="1"/>
    <col min="16" max="16" width="10.6640625" style="813" customWidth="1"/>
    <col min="17" max="17" width="2.6640625" style="813" customWidth="1"/>
    <col min="18" max="19" width="12.6640625" style="813" customWidth="1"/>
    <col min="20" max="20" width="1.6640625" style="813" customWidth="1"/>
    <col min="21" max="21" width="12" style="813" bestFit="1" customWidth="1"/>
    <col min="22" max="16384" width="9.109375" style="813"/>
  </cols>
  <sheetData>
    <row r="1" spans="2:19" x14ac:dyDescent="0.25">
      <c r="B1" s="812" t="s">
        <v>588</v>
      </c>
      <c r="N1" s="814"/>
      <c r="S1" s="815" t="str">
        <f>'Project Information'!D4</f>
        <v>Project Name</v>
      </c>
    </row>
    <row r="2" spans="2:19" x14ac:dyDescent="0.25">
      <c r="B2" s="812"/>
      <c r="N2" s="814"/>
      <c r="S2" s="815"/>
    </row>
    <row r="3" spans="2:19" ht="24.9" customHeight="1" x14ac:dyDescent="0.25">
      <c r="B3" s="816" t="s">
        <v>914</v>
      </c>
      <c r="C3" s="817"/>
      <c r="D3" s="817"/>
      <c r="E3" s="817"/>
      <c r="F3" s="817"/>
      <c r="G3" s="817"/>
      <c r="H3" s="816"/>
      <c r="I3" s="817"/>
      <c r="J3" s="817"/>
      <c r="K3" s="817"/>
      <c r="L3" s="817"/>
      <c r="M3" s="817"/>
      <c r="N3" s="818"/>
      <c r="O3" s="817"/>
      <c r="P3" s="817"/>
      <c r="Q3" s="817"/>
      <c r="R3" s="817"/>
      <c r="S3" s="817"/>
    </row>
    <row r="4" spans="2:19" ht="24.9" customHeight="1" x14ac:dyDescent="0.25">
      <c r="B4" s="816" t="s">
        <v>915</v>
      </c>
      <c r="C4" s="817"/>
      <c r="D4" s="817"/>
      <c r="E4" s="817"/>
      <c r="F4" s="817"/>
      <c r="G4" s="817"/>
      <c r="H4" s="816"/>
      <c r="I4" s="817"/>
      <c r="J4" s="817"/>
      <c r="K4" s="817"/>
      <c r="L4" s="817"/>
      <c r="M4" s="817"/>
      <c r="N4" s="818"/>
      <c r="O4" s="817"/>
      <c r="P4" s="817"/>
      <c r="Q4" s="817"/>
      <c r="R4" s="817"/>
      <c r="S4" s="817"/>
    </row>
    <row r="5" spans="2:19" ht="24.9" customHeight="1" thickBot="1" x14ac:dyDescent="0.3">
      <c r="B5" s="819" t="s">
        <v>916</v>
      </c>
      <c r="C5" s="820"/>
      <c r="D5" s="820"/>
      <c r="E5" s="820"/>
      <c r="F5" s="820"/>
      <c r="G5" s="820"/>
      <c r="H5" s="821"/>
      <c r="I5" s="820"/>
      <c r="J5" s="820"/>
      <c r="K5" s="820"/>
      <c r="L5" s="820"/>
      <c r="M5" s="820"/>
      <c r="N5" s="822"/>
      <c r="O5" s="820"/>
      <c r="P5" s="820"/>
      <c r="Q5" s="820"/>
      <c r="R5" s="820"/>
      <c r="S5" s="820"/>
    </row>
    <row r="6" spans="2:19" ht="39.9" customHeight="1" thickTop="1" x14ac:dyDescent="0.25">
      <c r="B6" s="965" t="s">
        <v>917</v>
      </c>
      <c r="D6" s="1596" t="s">
        <v>918</v>
      </c>
      <c r="E6" s="1596"/>
      <c r="F6" s="1596"/>
      <c r="H6" s="966" t="s">
        <v>919</v>
      </c>
      <c r="J6" s="966" t="s">
        <v>920</v>
      </c>
      <c r="L6" s="966" t="s">
        <v>921</v>
      </c>
      <c r="N6" s="823" t="s">
        <v>220</v>
      </c>
      <c r="O6" s="1597" t="s">
        <v>922</v>
      </c>
      <c r="P6" s="1597"/>
      <c r="Q6" s="1597"/>
      <c r="R6" s="1597" t="s">
        <v>923</v>
      </c>
      <c r="S6" s="1596"/>
    </row>
    <row r="7" spans="2:19" ht="13.5" customHeight="1" thickBot="1" x14ac:dyDescent="0.3">
      <c r="B7" s="824"/>
      <c r="D7" s="825"/>
      <c r="E7" s="825"/>
      <c r="F7" s="825"/>
      <c r="H7" s="824"/>
      <c r="L7" s="824"/>
      <c r="N7" s="826"/>
      <c r="Q7" s="825"/>
      <c r="R7" s="825"/>
      <c r="S7" s="825"/>
    </row>
    <row r="8" spans="2:19" ht="13.5" customHeight="1" thickBot="1" x14ac:dyDescent="0.3">
      <c r="B8" s="322"/>
      <c r="D8" s="1592"/>
      <c r="E8" s="1593"/>
      <c r="F8" s="1594"/>
      <c r="H8" s="322"/>
      <c r="J8" s="827"/>
      <c r="L8" s="322"/>
      <c r="N8" s="827"/>
      <c r="P8" s="827"/>
      <c r="Q8" s="806"/>
      <c r="R8" s="1514"/>
      <c r="S8" s="1595"/>
    </row>
    <row r="9" spans="2:19" ht="13.5" customHeight="1" thickBot="1" x14ac:dyDescent="0.3">
      <c r="B9" s="322"/>
      <c r="D9" s="961"/>
      <c r="E9" s="962"/>
      <c r="F9" s="963"/>
      <c r="H9" s="322"/>
      <c r="J9" s="827"/>
      <c r="L9" s="322"/>
      <c r="N9" s="827"/>
      <c r="P9" s="827"/>
      <c r="Q9" s="806"/>
      <c r="R9" s="960"/>
      <c r="S9" s="964"/>
    </row>
    <row r="10" spans="2:19" ht="13.5" customHeight="1" thickBot="1" x14ac:dyDescent="0.3">
      <c r="B10" s="322"/>
      <c r="D10" s="961"/>
      <c r="E10" s="962"/>
      <c r="F10" s="963"/>
      <c r="H10" s="322"/>
      <c r="J10" s="827"/>
      <c r="L10" s="322"/>
      <c r="N10" s="827"/>
      <c r="P10" s="827"/>
      <c r="Q10" s="806"/>
      <c r="R10" s="960"/>
      <c r="S10" s="964"/>
    </row>
    <row r="11" spans="2:19" ht="13.5" customHeight="1" thickBot="1" x14ac:dyDescent="0.3">
      <c r="B11" s="322"/>
      <c r="D11" s="961"/>
      <c r="E11" s="962"/>
      <c r="F11" s="963"/>
      <c r="H11" s="322"/>
      <c r="J11" s="827"/>
      <c r="L11" s="322"/>
      <c r="N11" s="827"/>
      <c r="P11" s="827"/>
      <c r="Q11" s="806"/>
      <c r="R11" s="960"/>
      <c r="S11" s="964"/>
    </row>
    <row r="12" spans="2:19" ht="13.5" customHeight="1" thickBot="1" x14ac:dyDescent="0.3">
      <c r="B12" s="322"/>
      <c r="D12" s="961"/>
      <c r="E12" s="962"/>
      <c r="F12" s="963"/>
      <c r="H12" s="322"/>
      <c r="J12" s="827"/>
      <c r="L12" s="322"/>
      <c r="N12" s="827"/>
      <c r="P12" s="827"/>
      <c r="Q12" s="806"/>
      <c r="R12" s="960"/>
      <c r="S12" s="964"/>
    </row>
    <row r="13" spans="2:19" ht="13.5" customHeight="1" thickBot="1" x14ac:dyDescent="0.3">
      <c r="B13" s="322"/>
      <c r="D13" s="961"/>
      <c r="E13" s="962"/>
      <c r="F13" s="963"/>
      <c r="H13" s="322"/>
      <c r="J13" s="827"/>
      <c r="L13" s="322"/>
      <c r="N13" s="827"/>
      <c r="P13" s="827"/>
      <c r="Q13" s="806"/>
      <c r="R13" s="960"/>
      <c r="S13" s="964"/>
    </row>
    <row r="14" spans="2:19" ht="13.5" customHeight="1" thickBot="1" x14ac:dyDescent="0.3">
      <c r="B14" s="322"/>
      <c r="D14" s="961"/>
      <c r="E14" s="962"/>
      <c r="F14" s="963"/>
      <c r="H14" s="322"/>
      <c r="J14" s="827"/>
      <c r="L14" s="322"/>
      <c r="N14" s="827"/>
      <c r="P14" s="827"/>
      <c r="Q14" s="806"/>
      <c r="R14" s="960"/>
      <c r="S14" s="964"/>
    </row>
    <row r="15" spans="2:19" ht="13.5" customHeight="1" thickBot="1" x14ac:dyDescent="0.3">
      <c r="B15" s="322"/>
      <c r="D15" s="961"/>
      <c r="E15" s="962"/>
      <c r="F15" s="963"/>
      <c r="H15" s="322"/>
      <c r="J15" s="827"/>
      <c r="L15" s="322"/>
      <c r="N15" s="827"/>
      <c r="P15" s="827"/>
      <c r="Q15" s="806"/>
      <c r="R15" s="960"/>
      <c r="S15" s="964"/>
    </row>
    <row r="16" spans="2:19" ht="13.5" customHeight="1" thickBot="1" x14ac:dyDescent="0.3">
      <c r="B16" s="322"/>
      <c r="D16" s="961"/>
      <c r="E16" s="962"/>
      <c r="F16" s="963"/>
      <c r="H16" s="322"/>
      <c r="J16" s="827"/>
      <c r="L16" s="322"/>
      <c r="N16" s="827"/>
      <c r="P16" s="827"/>
      <c r="Q16" s="806"/>
      <c r="R16" s="960"/>
      <c r="S16" s="964"/>
    </row>
    <row r="17" spans="2:19" ht="13.5" customHeight="1" thickBot="1" x14ac:dyDescent="0.3">
      <c r="B17" s="322"/>
      <c r="D17" s="961"/>
      <c r="E17" s="962"/>
      <c r="F17" s="963"/>
      <c r="H17" s="322"/>
      <c r="J17" s="827"/>
      <c r="L17" s="322"/>
      <c r="N17" s="827"/>
      <c r="P17" s="827"/>
      <c r="Q17" s="806"/>
      <c r="R17" s="960"/>
      <c r="S17" s="964"/>
    </row>
    <row r="18" spans="2:19" ht="13.5" customHeight="1" thickBot="1" x14ac:dyDescent="0.3">
      <c r="B18" s="322"/>
      <c r="D18" s="961"/>
      <c r="E18" s="962"/>
      <c r="F18" s="963"/>
      <c r="H18" s="322"/>
      <c r="J18" s="827"/>
      <c r="L18" s="322"/>
      <c r="N18" s="827"/>
      <c r="P18" s="827"/>
      <c r="Q18" s="806"/>
      <c r="R18" s="960"/>
      <c r="S18" s="964"/>
    </row>
    <row r="19" spans="2:19" ht="13.5" customHeight="1" thickBot="1" x14ac:dyDescent="0.3">
      <c r="B19" s="322"/>
      <c r="D19" s="961"/>
      <c r="E19" s="962"/>
      <c r="F19" s="963"/>
      <c r="H19" s="322"/>
      <c r="J19" s="827"/>
      <c r="L19" s="322"/>
      <c r="N19" s="827"/>
      <c r="P19" s="827"/>
      <c r="Q19" s="806"/>
      <c r="R19" s="960"/>
      <c r="S19" s="964"/>
    </row>
    <row r="20" spans="2:19" ht="13.5" customHeight="1" thickBot="1" x14ac:dyDescent="0.3">
      <c r="B20" s="322"/>
      <c r="D20" s="961"/>
      <c r="E20" s="962"/>
      <c r="F20" s="963"/>
      <c r="H20" s="322"/>
      <c r="J20" s="827"/>
      <c r="L20" s="322"/>
      <c r="N20" s="827"/>
      <c r="P20" s="827"/>
      <c r="Q20" s="806"/>
      <c r="R20" s="960"/>
      <c r="S20" s="964"/>
    </row>
    <row r="21" spans="2:19" ht="13.5" customHeight="1" thickBot="1" x14ac:dyDescent="0.3">
      <c r="B21" s="322"/>
      <c r="D21" s="961"/>
      <c r="E21" s="962"/>
      <c r="F21" s="963"/>
      <c r="H21" s="322"/>
      <c r="J21" s="827"/>
      <c r="L21" s="322"/>
      <c r="N21" s="827"/>
      <c r="P21" s="827"/>
      <c r="Q21" s="806"/>
      <c r="R21" s="960"/>
      <c r="S21" s="964"/>
    </row>
    <row r="22" spans="2:19" ht="13.5" customHeight="1" thickBot="1" x14ac:dyDescent="0.3">
      <c r="B22" s="322"/>
      <c r="D22" s="961"/>
      <c r="E22" s="962"/>
      <c r="F22" s="963"/>
      <c r="H22" s="322"/>
      <c r="J22" s="827"/>
      <c r="L22" s="322"/>
      <c r="N22" s="827"/>
      <c r="P22" s="827"/>
      <c r="Q22" s="806"/>
      <c r="R22" s="960"/>
      <c r="S22" s="964"/>
    </row>
    <row r="23" spans="2:19" ht="13.5" customHeight="1" thickBot="1" x14ac:dyDescent="0.3">
      <c r="B23" s="322"/>
      <c r="D23" s="961"/>
      <c r="E23" s="962"/>
      <c r="F23" s="963"/>
      <c r="H23" s="322"/>
      <c r="J23" s="827"/>
      <c r="L23" s="322"/>
      <c r="N23" s="827"/>
      <c r="P23" s="827"/>
      <c r="Q23" s="806"/>
      <c r="R23" s="960"/>
      <c r="S23" s="964"/>
    </row>
    <row r="24" spans="2:19" ht="13.5" customHeight="1" thickBot="1" x14ac:dyDescent="0.3">
      <c r="B24" s="322"/>
      <c r="D24" s="961"/>
      <c r="E24" s="962"/>
      <c r="F24" s="963"/>
      <c r="H24" s="322"/>
      <c r="J24" s="827"/>
      <c r="L24" s="322"/>
      <c r="N24" s="827"/>
      <c r="P24" s="827"/>
      <c r="Q24" s="806"/>
      <c r="R24" s="960"/>
      <c r="S24" s="964"/>
    </row>
    <row r="25" spans="2:19" ht="13.5" customHeight="1" thickBot="1" x14ac:dyDescent="0.3">
      <c r="B25" s="322"/>
      <c r="D25" s="961"/>
      <c r="E25" s="962"/>
      <c r="F25" s="963"/>
      <c r="H25" s="322"/>
      <c r="J25" s="827"/>
      <c r="L25" s="322"/>
      <c r="N25" s="827"/>
      <c r="P25" s="827"/>
      <c r="Q25" s="806"/>
      <c r="R25" s="960"/>
      <c r="S25" s="964"/>
    </row>
    <row r="26" spans="2:19" ht="13.5" customHeight="1" thickBot="1" x14ac:dyDescent="0.3">
      <c r="B26" s="322"/>
      <c r="D26" s="961"/>
      <c r="E26" s="962"/>
      <c r="F26" s="963"/>
      <c r="H26" s="322"/>
      <c r="J26" s="827"/>
      <c r="L26" s="322"/>
      <c r="N26" s="827"/>
      <c r="P26" s="827"/>
      <c r="Q26" s="806"/>
      <c r="R26" s="960"/>
      <c r="S26" s="964"/>
    </row>
    <row r="27" spans="2:19" ht="13.5" customHeight="1" thickBot="1" x14ac:dyDescent="0.3">
      <c r="B27" s="322"/>
      <c r="D27" s="961"/>
      <c r="E27" s="962"/>
      <c r="F27" s="963"/>
      <c r="H27" s="322"/>
      <c r="J27" s="827"/>
      <c r="L27" s="322"/>
      <c r="N27" s="827"/>
      <c r="P27" s="827"/>
      <c r="Q27" s="806"/>
      <c r="R27" s="960"/>
      <c r="S27" s="964"/>
    </row>
    <row r="28" spans="2:19" ht="13.5" customHeight="1" thickBot="1" x14ac:dyDescent="0.3">
      <c r="B28" s="322"/>
      <c r="D28" s="961"/>
      <c r="E28" s="962"/>
      <c r="F28" s="963"/>
      <c r="H28" s="322"/>
      <c r="J28" s="827"/>
      <c r="L28" s="322"/>
      <c r="N28" s="827"/>
      <c r="P28" s="827"/>
      <c r="Q28" s="806"/>
      <c r="R28" s="960"/>
      <c r="S28" s="964"/>
    </row>
    <row r="29" spans="2:19" ht="13.5" customHeight="1" thickBot="1" x14ac:dyDescent="0.3">
      <c r="B29" s="322"/>
      <c r="D29" s="961"/>
      <c r="E29" s="962"/>
      <c r="F29" s="963"/>
      <c r="H29" s="322"/>
      <c r="J29" s="827"/>
      <c r="L29" s="322"/>
      <c r="N29" s="827"/>
      <c r="P29" s="827"/>
      <c r="Q29" s="806"/>
      <c r="R29" s="960"/>
      <c r="S29" s="964"/>
    </row>
    <row r="30" spans="2:19" ht="13.5" customHeight="1" thickBot="1" x14ac:dyDescent="0.3">
      <c r="B30" s="322"/>
      <c r="D30" s="961"/>
      <c r="E30" s="962"/>
      <c r="F30" s="963"/>
      <c r="H30" s="322"/>
      <c r="J30" s="827"/>
      <c r="L30" s="322"/>
      <c r="N30" s="827"/>
      <c r="P30" s="827"/>
      <c r="Q30" s="806"/>
      <c r="R30" s="960"/>
      <c r="S30" s="964"/>
    </row>
    <row r="31" spans="2:19" ht="13.5" customHeight="1" thickBot="1" x14ac:dyDescent="0.3">
      <c r="B31" s="322"/>
      <c r="D31" s="961"/>
      <c r="E31" s="962"/>
      <c r="F31" s="963"/>
      <c r="H31" s="322"/>
      <c r="J31" s="827"/>
      <c r="L31" s="322"/>
      <c r="N31" s="827"/>
      <c r="P31" s="827"/>
      <c r="Q31" s="806"/>
      <c r="R31" s="960"/>
      <c r="S31" s="964"/>
    </row>
    <row r="32" spans="2:19" ht="13.5" customHeight="1" thickBot="1" x14ac:dyDescent="0.3">
      <c r="B32" s="322"/>
      <c r="D32" s="961"/>
      <c r="E32" s="962"/>
      <c r="F32" s="963"/>
      <c r="H32" s="322"/>
      <c r="J32" s="827"/>
      <c r="L32" s="322"/>
      <c r="N32" s="827"/>
      <c r="P32" s="827"/>
      <c r="Q32" s="806"/>
      <c r="R32" s="960"/>
      <c r="S32" s="964"/>
    </row>
    <row r="33" spans="2:19" ht="13.5" customHeight="1" thickBot="1" x14ac:dyDescent="0.3">
      <c r="B33" s="322"/>
      <c r="D33" s="961"/>
      <c r="E33" s="962"/>
      <c r="F33" s="963"/>
      <c r="H33" s="322"/>
      <c r="J33" s="827"/>
      <c r="L33" s="322"/>
      <c r="N33" s="827"/>
      <c r="P33" s="827"/>
      <c r="Q33" s="806"/>
      <c r="R33" s="960"/>
      <c r="S33" s="964"/>
    </row>
    <row r="34" spans="2:19" ht="13.5" customHeight="1" thickBot="1" x14ac:dyDescent="0.3">
      <c r="B34" s="322"/>
      <c r="D34" s="961"/>
      <c r="E34" s="962"/>
      <c r="F34" s="963"/>
      <c r="H34" s="322"/>
      <c r="J34" s="827"/>
      <c r="L34" s="322"/>
      <c r="N34" s="827"/>
      <c r="P34" s="827"/>
      <c r="Q34" s="806"/>
      <c r="R34" s="960"/>
      <c r="S34" s="964"/>
    </row>
    <row r="35" spans="2:19" ht="13.5" customHeight="1" thickBot="1" x14ac:dyDescent="0.3">
      <c r="B35" s="322"/>
      <c r="D35" s="961"/>
      <c r="E35" s="962"/>
      <c r="F35" s="963"/>
      <c r="H35" s="322"/>
      <c r="J35" s="827"/>
      <c r="L35" s="322"/>
      <c r="N35" s="827"/>
      <c r="P35" s="827"/>
      <c r="Q35" s="806"/>
      <c r="R35" s="960"/>
      <c r="S35" s="964"/>
    </row>
    <row r="36" spans="2:19" ht="13.5" customHeight="1" thickBot="1" x14ac:dyDescent="0.3">
      <c r="B36" s="322"/>
      <c r="D36" s="961"/>
      <c r="E36" s="962"/>
      <c r="F36" s="963"/>
      <c r="H36" s="322"/>
      <c r="J36" s="827"/>
      <c r="L36" s="322"/>
      <c r="N36" s="827"/>
      <c r="P36" s="827"/>
      <c r="Q36" s="806"/>
      <c r="R36" s="960"/>
      <c r="S36" s="964"/>
    </row>
    <row r="37" spans="2:19" ht="13.5" customHeight="1" thickBot="1" x14ac:dyDescent="0.3">
      <c r="B37" s="322"/>
      <c r="D37" s="961"/>
      <c r="E37" s="962"/>
      <c r="F37" s="963"/>
      <c r="H37" s="322"/>
      <c r="J37" s="827"/>
      <c r="L37" s="322"/>
      <c r="N37" s="827"/>
      <c r="P37" s="827"/>
      <c r="Q37" s="806"/>
      <c r="R37" s="960"/>
      <c r="S37" s="964"/>
    </row>
    <row r="38" spans="2:19" ht="13.5" customHeight="1" thickBot="1" x14ac:dyDescent="0.3">
      <c r="B38" s="322"/>
      <c r="D38" s="961"/>
      <c r="E38" s="962"/>
      <c r="F38" s="963"/>
      <c r="H38" s="322"/>
      <c r="J38" s="827"/>
      <c r="L38" s="322"/>
      <c r="N38" s="827"/>
      <c r="P38" s="827"/>
      <c r="Q38" s="806"/>
      <c r="R38" s="960"/>
      <c r="S38" s="964"/>
    </row>
    <row r="39" spans="2:19" ht="13.5" customHeight="1" thickBot="1" x14ac:dyDescent="0.3">
      <c r="B39" s="322"/>
      <c r="D39" s="961"/>
      <c r="E39" s="962"/>
      <c r="F39" s="963"/>
      <c r="H39" s="322"/>
      <c r="J39" s="827"/>
      <c r="L39" s="322"/>
      <c r="N39" s="827"/>
      <c r="P39" s="827"/>
      <c r="Q39" s="806"/>
      <c r="R39" s="960"/>
      <c r="S39" s="964"/>
    </row>
    <row r="40" spans="2:19" ht="13.5" customHeight="1" thickBot="1" x14ac:dyDescent="0.3">
      <c r="B40" s="322"/>
      <c r="D40" s="961"/>
      <c r="E40" s="962"/>
      <c r="F40" s="963"/>
      <c r="H40" s="322"/>
      <c r="J40" s="827"/>
      <c r="L40" s="322"/>
      <c r="N40" s="827"/>
      <c r="P40" s="827"/>
      <c r="Q40" s="806"/>
      <c r="R40" s="960"/>
      <c r="S40" s="964"/>
    </row>
    <row r="41" spans="2:19" ht="13.5" customHeight="1" thickBot="1" x14ac:dyDescent="0.3">
      <c r="B41" s="322"/>
      <c r="D41" s="961"/>
      <c r="E41" s="962"/>
      <c r="F41" s="963"/>
      <c r="H41" s="322"/>
      <c r="J41" s="827"/>
      <c r="L41" s="322"/>
      <c r="N41" s="827"/>
      <c r="P41" s="827"/>
      <c r="Q41" s="806"/>
      <c r="R41" s="960"/>
      <c r="S41" s="964"/>
    </row>
    <row r="42" spans="2:19" ht="13.5" customHeight="1" thickBot="1" x14ac:dyDescent="0.3">
      <c r="B42" s="322"/>
      <c r="D42" s="961"/>
      <c r="E42" s="962"/>
      <c r="F42" s="963"/>
      <c r="H42" s="322"/>
      <c r="J42" s="827"/>
      <c r="L42" s="322"/>
      <c r="N42" s="827"/>
      <c r="P42" s="827"/>
      <c r="Q42" s="806"/>
      <c r="R42" s="960"/>
      <c r="S42" s="964"/>
    </row>
    <row r="43" spans="2:19" ht="13.5" customHeight="1" thickBot="1" x14ac:dyDescent="0.3">
      <c r="B43" s="322"/>
      <c r="D43" s="961"/>
      <c r="E43" s="962"/>
      <c r="F43" s="963"/>
      <c r="H43" s="322"/>
      <c r="J43" s="827"/>
      <c r="L43" s="322"/>
      <c r="N43" s="827"/>
      <c r="P43" s="827"/>
      <c r="Q43" s="806"/>
      <c r="R43" s="960"/>
      <c r="S43" s="964"/>
    </row>
    <row r="44" spans="2:19" ht="13.5" customHeight="1" thickBot="1" x14ac:dyDescent="0.3">
      <c r="B44" s="322"/>
      <c r="D44" s="961"/>
      <c r="E44" s="962"/>
      <c r="F44" s="963"/>
      <c r="H44" s="322"/>
      <c r="J44" s="827"/>
      <c r="L44" s="322"/>
      <c r="N44" s="827"/>
      <c r="P44" s="827"/>
      <c r="Q44" s="806"/>
      <c r="R44" s="960"/>
      <c r="S44" s="964"/>
    </row>
    <row r="45" spans="2:19" ht="13.5" customHeight="1" thickBot="1" x14ac:dyDescent="0.3">
      <c r="B45" s="322"/>
      <c r="D45" s="961"/>
      <c r="E45" s="962"/>
      <c r="F45" s="963"/>
      <c r="H45" s="322"/>
      <c r="J45" s="827"/>
      <c r="L45" s="322"/>
      <c r="N45" s="827"/>
      <c r="P45" s="827"/>
      <c r="Q45" s="806"/>
      <c r="R45" s="960"/>
      <c r="S45" s="964"/>
    </row>
    <row r="46" spans="2:19" ht="13.5" customHeight="1" thickBot="1" x14ac:dyDescent="0.3">
      <c r="B46" s="322"/>
      <c r="D46" s="961"/>
      <c r="E46" s="962"/>
      <c r="F46" s="963"/>
      <c r="H46" s="322"/>
      <c r="J46" s="827"/>
      <c r="L46" s="322"/>
      <c r="N46" s="827"/>
      <c r="P46" s="827"/>
      <c r="Q46" s="806"/>
      <c r="R46" s="960"/>
      <c r="S46" s="964"/>
    </row>
    <row r="47" spans="2:19" ht="13.5" customHeight="1" thickBot="1" x14ac:dyDescent="0.3">
      <c r="B47" s="322"/>
      <c r="D47" s="961"/>
      <c r="E47" s="962"/>
      <c r="F47" s="963"/>
      <c r="H47" s="322"/>
      <c r="J47" s="827"/>
      <c r="L47" s="322"/>
      <c r="N47" s="827"/>
      <c r="P47" s="827"/>
      <c r="Q47" s="806"/>
      <c r="R47" s="960"/>
      <c r="S47" s="964"/>
    </row>
    <row r="48" spans="2:19" ht="13.5" customHeight="1" thickBot="1" x14ac:dyDescent="0.3">
      <c r="B48" s="322"/>
      <c r="D48" s="961"/>
      <c r="E48" s="962"/>
      <c r="F48" s="963"/>
      <c r="H48" s="322"/>
      <c r="J48" s="827"/>
      <c r="L48" s="322"/>
      <c r="N48" s="827"/>
      <c r="P48" s="827"/>
      <c r="Q48" s="806"/>
      <c r="R48" s="960"/>
      <c r="S48" s="964"/>
    </row>
    <row r="49" spans="2:19" ht="13.5" customHeight="1" thickBot="1" x14ac:dyDescent="0.3">
      <c r="B49" s="322"/>
      <c r="D49" s="961"/>
      <c r="E49" s="962"/>
      <c r="F49" s="963"/>
      <c r="H49" s="322"/>
      <c r="J49" s="827"/>
      <c r="L49" s="322"/>
      <c r="N49" s="827"/>
      <c r="P49" s="827"/>
      <c r="Q49" s="806"/>
      <c r="R49" s="960"/>
      <c r="S49" s="964"/>
    </row>
    <row r="50" spans="2:19" ht="13.5" customHeight="1" thickBot="1" x14ac:dyDescent="0.3">
      <c r="B50" s="322"/>
      <c r="D50" s="961"/>
      <c r="E50" s="962"/>
      <c r="F50" s="963"/>
      <c r="H50" s="322"/>
      <c r="J50" s="827"/>
      <c r="L50" s="322"/>
      <c r="N50" s="827"/>
      <c r="P50" s="827"/>
      <c r="Q50" s="806"/>
      <c r="R50" s="960"/>
      <c r="S50" s="964"/>
    </row>
    <row r="51" spans="2:19" ht="13.5" customHeight="1" thickBot="1" x14ac:dyDescent="0.3">
      <c r="B51" s="322"/>
      <c r="D51" s="961"/>
      <c r="E51" s="962"/>
      <c r="F51" s="963"/>
      <c r="H51" s="322"/>
      <c r="J51" s="827"/>
      <c r="L51" s="322"/>
      <c r="N51" s="827"/>
      <c r="P51" s="827"/>
      <c r="Q51" s="806"/>
      <c r="R51" s="960"/>
      <c r="S51" s="964"/>
    </row>
    <row r="52" spans="2:19" ht="13.5" customHeight="1" thickBot="1" x14ac:dyDescent="0.3">
      <c r="B52" s="322"/>
      <c r="D52" s="961"/>
      <c r="E52" s="962"/>
      <c r="F52" s="963"/>
      <c r="H52" s="322"/>
      <c r="J52" s="827"/>
      <c r="L52" s="322"/>
      <c r="N52" s="827"/>
      <c r="P52" s="827"/>
      <c r="Q52" s="806"/>
      <c r="R52" s="960"/>
      <c r="S52" s="964"/>
    </row>
    <row r="53" spans="2:19" ht="13.5" customHeight="1" thickBot="1" x14ac:dyDescent="0.3">
      <c r="B53" s="322"/>
      <c r="D53" s="961"/>
      <c r="E53" s="962"/>
      <c r="F53" s="963"/>
      <c r="H53" s="322"/>
      <c r="J53" s="827"/>
      <c r="L53" s="322"/>
      <c r="N53" s="827"/>
      <c r="P53" s="827"/>
      <c r="Q53" s="806"/>
      <c r="R53" s="960"/>
      <c r="S53" s="964"/>
    </row>
    <row r="54" spans="2:19" ht="13.5" customHeight="1" thickBot="1" x14ac:dyDescent="0.3">
      <c r="B54" s="322"/>
      <c r="D54" s="961"/>
      <c r="E54" s="962"/>
      <c r="F54" s="963"/>
      <c r="H54" s="322"/>
      <c r="J54" s="827"/>
      <c r="L54" s="322"/>
      <c r="N54" s="827"/>
      <c r="P54" s="827"/>
      <c r="Q54" s="806"/>
      <c r="R54" s="960"/>
      <c r="S54" s="964"/>
    </row>
    <row r="55" spans="2:19" ht="13.5" customHeight="1" thickBot="1" x14ac:dyDescent="0.3">
      <c r="B55" s="322"/>
      <c r="D55" s="961"/>
      <c r="E55" s="962"/>
      <c r="F55" s="963"/>
      <c r="H55" s="322"/>
      <c r="J55" s="827"/>
      <c r="L55" s="322"/>
      <c r="N55" s="827"/>
      <c r="P55" s="827"/>
      <c r="Q55" s="806"/>
      <c r="R55" s="960"/>
      <c r="S55" s="964"/>
    </row>
    <row r="56" spans="2:19" ht="13.5" customHeight="1" thickBot="1" x14ac:dyDescent="0.3">
      <c r="B56" s="322"/>
      <c r="D56" s="961"/>
      <c r="E56" s="962"/>
      <c r="F56" s="963"/>
      <c r="H56" s="322"/>
      <c r="J56" s="827"/>
      <c r="L56" s="322"/>
      <c r="N56" s="827"/>
      <c r="P56" s="827"/>
      <c r="Q56" s="806"/>
      <c r="R56" s="960"/>
      <c r="S56" s="964"/>
    </row>
    <row r="57" spans="2:19" ht="13.5" customHeight="1" thickBot="1" x14ac:dyDescent="0.3">
      <c r="B57" s="322"/>
      <c r="D57" s="961"/>
      <c r="E57" s="962"/>
      <c r="F57" s="963"/>
      <c r="H57" s="322"/>
      <c r="J57" s="827"/>
      <c r="L57" s="322"/>
      <c r="N57" s="827"/>
      <c r="P57" s="827"/>
      <c r="Q57" s="806"/>
      <c r="R57" s="960"/>
      <c r="S57" s="964"/>
    </row>
    <row r="58" spans="2:19" ht="13.5" customHeight="1" thickBot="1" x14ac:dyDescent="0.3">
      <c r="B58" s="322"/>
      <c r="D58" s="961"/>
      <c r="E58" s="962"/>
      <c r="F58" s="963"/>
      <c r="H58" s="322"/>
      <c r="J58" s="827"/>
      <c r="L58" s="322"/>
      <c r="N58" s="827"/>
      <c r="P58" s="827"/>
      <c r="Q58" s="806"/>
      <c r="R58" s="960"/>
      <c r="S58" s="964"/>
    </row>
    <row r="59" spans="2:19" ht="13.5" customHeight="1" thickBot="1" x14ac:dyDescent="0.3">
      <c r="B59" s="322"/>
      <c r="D59" s="961"/>
      <c r="E59" s="962"/>
      <c r="F59" s="963"/>
      <c r="H59" s="322"/>
      <c r="J59" s="827"/>
      <c r="L59" s="322"/>
      <c r="N59" s="827"/>
      <c r="P59" s="827"/>
      <c r="Q59" s="806"/>
      <c r="R59" s="960"/>
      <c r="S59" s="964"/>
    </row>
    <row r="60" spans="2:19" ht="13.5" customHeight="1" thickBot="1" x14ac:dyDescent="0.3">
      <c r="B60" s="322"/>
      <c r="D60" s="961"/>
      <c r="E60" s="962"/>
      <c r="F60" s="963"/>
      <c r="H60" s="322"/>
      <c r="J60" s="827"/>
      <c r="L60" s="322"/>
      <c r="N60" s="827"/>
      <c r="P60" s="827"/>
      <c r="Q60" s="806"/>
      <c r="R60" s="960"/>
      <c r="S60" s="964"/>
    </row>
    <row r="61" spans="2:19" ht="13.5" customHeight="1" thickBot="1" x14ac:dyDescent="0.3">
      <c r="B61" s="322"/>
      <c r="D61" s="961"/>
      <c r="E61" s="962"/>
      <c r="F61" s="963"/>
      <c r="H61" s="322"/>
      <c r="J61" s="827"/>
      <c r="L61" s="322"/>
      <c r="N61" s="827"/>
      <c r="P61" s="827"/>
      <c r="Q61" s="806"/>
      <c r="R61" s="960"/>
      <c r="S61" s="964"/>
    </row>
    <row r="62" spans="2:19" ht="13.5" customHeight="1" thickBot="1" x14ac:dyDescent="0.3">
      <c r="B62" s="322"/>
      <c r="D62" s="961"/>
      <c r="E62" s="962"/>
      <c r="F62" s="963"/>
      <c r="H62" s="322"/>
      <c r="J62" s="827"/>
      <c r="L62" s="322"/>
      <c r="N62" s="827"/>
      <c r="P62" s="827"/>
      <c r="Q62" s="806"/>
      <c r="R62" s="960"/>
      <c r="S62" s="964"/>
    </row>
    <row r="63" spans="2:19" ht="13.5" customHeight="1" thickBot="1" x14ac:dyDescent="0.3">
      <c r="B63" s="322"/>
      <c r="D63" s="961"/>
      <c r="E63" s="962"/>
      <c r="F63" s="963"/>
      <c r="H63" s="322"/>
      <c r="J63" s="827"/>
      <c r="L63" s="322"/>
      <c r="N63" s="827"/>
      <c r="P63" s="827"/>
      <c r="Q63" s="806"/>
      <c r="R63" s="960"/>
      <c r="S63" s="964"/>
    </row>
    <row r="64" spans="2:19" ht="13.5" customHeight="1" thickBot="1" x14ac:dyDescent="0.3">
      <c r="B64" s="322"/>
      <c r="D64" s="961"/>
      <c r="E64" s="962"/>
      <c r="F64" s="963"/>
      <c r="H64" s="322"/>
      <c r="J64" s="827"/>
      <c r="L64" s="322"/>
      <c r="N64" s="827"/>
      <c r="P64" s="827"/>
      <c r="Q64" s="806"/>
      <c r="R64" s="960"/>
      <c r="S64" s="964"/>
    </row>
    <row r="65" spans="2:19" ht="13.5" customHeight="1" thickBot="1" x14ac:dyDescent="0.3">
      <c r="B65" s="322"/>
      <c r="D65" s="961"/>
      <c r="E65" s="962"/>
      <c r="F65" s="963"/>
      <c r="H65" s="322"/>
      <c r="J65" s="827"/>
      <c r="L65" s="322"/>
      <c r="N65" s="827"/>
      <c r="P65" s="827"/>
      <c r="Q65" s="806"/>
      <c r="R65" s="960"/>
      <c r="S65" s="964"/>
    </row>
    <row r="66" spans="2:19" ht="13.5" customHeight="1" thickBot="1" x14ac:dyDescent="0.3">
      <c r="B66" s="322"/>
      <c r="D66" s="961"/>
      <c r="E66" s="962"/>
      <c r="F66" s="963"/>
      <c r="H66" s="322"/>
      <c r="J66" s="827"/>
      <c r="L66" s="322"/>
      <c r="N66" s="827"/>
      <c r="P66" s="827"/>
      <c r="Q66" s="806"/>
      <c r="R66" s="960"/>
      <c r="S66" s="964"/>
    </row>
    <row r="67" spans="2:19" ht="13.5" customHeight="1" thickBot="1" x14ac:dyDescent="0.3">
      <c r="B67" s="322"/>
      <c r="D67" s="961"/>
      <c r="E67" s="962"/>
      <c r="F67" s="963"/>
      <c r="H67" s="322"/>
      <c r="J67" s="827"/>
      <c r="L67" s="322"/>
      <c r="N67" s="827"/>
      <c r="P67" s="827"/>
      <c r="Q67" s="806"/>
      <c r="R67" s="960"/>
      <c r="S67" s="964"/>
    </row>
    <row r="68" spans="2:19" ht="13.5" customHeight="1" thickBot="1" x14ac:dyDescent="0.3">
      <c r="B68" s="322"/>
      <c r="D68" s="961"/>
      <c r="E68" s="962"/>
      <c r="F68" s="963"/>
      <c r="H68" s="322"/>
      <c r="J68" s="827"/>
      <c r="L68" s="322"/>
      <c r="N68" s="827"/>
      <c r="P68" s="827"/>
      <c r="Q68" s="806"/>
      <c r="R68" s="960"/>
      <c r="S68" s="964"/>
    </row>
    <row r="69" spans="2:19" ht="13.5" customHeight="1" thickBot="1" x14ac:dyDescent="0.3">
      <c r="B69" s="322"/>
      <c r="D69" s="961"/>
      <c r="E69" s="962"/>
      <c r="F69" s="963"/>
      <c r="H69" s="322"/>
      <c r="J69" s="827"/>
      <c r="L69" s="322"/>
      <c r="N69" s="827"/>
      <c r="P69" s="827"/>
      <c r="Q69" s="806"/>
      <c r="R69" s="960"/>
      <c r="S69" s="964"/>
    </row>
    <row r="70" spans="2:19" ht="13.5" customHeight="1" thickBot="1" x14ac:dyDescent="0.3">
      <c r="B70" s="322"/>
      <c r="D70" s="961"/>
      <c r="E70" s="962"/>
      <c r="F70" s="963"/>
      <c r="H70" s="322"/>
      <c r="J70" s="827"/>
      <c r="L70" s="322"/>
      <c r="N70" s="827"/>
      <c r="P70" s="827"/>
      <c r="Q70" s="806"/>
      <c r="R70" s="960"/>
      <c r="S70" s="964"/>
    </row>
    <row r="71" spans="2:19" ht="13.5" customHeight="1" thickBot="1" x14ac:dyDescent="0.3">
      <c r="B71" s="322"/>
      <c r="D71" s="961"/>
      <c r="E71" s="962"/>
      <c r="F71" s="963"/>
      <c r="H71" s="322"/>
      <c r="J71" s="827"/>
      <c r="L71" s="322"/>
      <c r="N71" s="827"/>
      <c r="P71" s="827"/>
      <c r="Q71" s="806"/>
      <c r="R71" s="960"/>
      <c r="S71" s="964"/>
    </row>
    <row r="72" spans="2:19" ht="13.5" customHeight="1" thickBot="1" x14ac:dyDescent="0.3">
      <c r="B72" s="322"/>
      <c r="D72" s="961"/>
      <c r="E72" s="962"/>
      <c r="F72" s="963"/>
      <c r="H72" s="322"/>
      <c r="J72" s="827"/>
      <c r="L72" s="322"/>
      <c r="N72" s="827"/>
      <c r="P72" s="827"/>
      <c r="Q72" s="806"/>
      <c r="R72" s="960"/>
      <c r="S72" s="964"/>
    </row>
    <row r="73" spans="2:19" ht="13.5" customHeight="1" thickBot="1" x14ac:dyDescent="0.3">
      <c r="B73" s="322"/>
      <c r="D73" s="961"/>
      <c r="E73" s="962"/>
      <c r="F73" s="963"/>
      <c r="H73" s="322"/>
      <c r="J73" s="827"/>
      <c r="L73" s="322"/>
      <c r="N73" s="827"/>
      <c r="P73" s="827"/>
      <c r="Q73" s="806"/>
      <c r="R73" s="960"/>
      <c r="S73" s="964"/>
    </row>
    <row r="74" spans="2:19" ht="13.5" customHeight="1" thickBot="1" x14ac:dyDescent="0.3">
      <c r="B74" s="322"/>
      <c r="D74" s="961"/>
      <c r="E74" s="962"/>
      <c r="F74" s="963"/>
      <c r="H74" s="322"/>
      <c r="J74" s="827"/>
      <c r="L74" s="322"/>
      <c r="N74" s="827"/>
      <c r="P74" s="827"/>
      <c r="Q74" s="806"/>
      <c r="R74" s="960"/>
      <c r="S74" s="964"/>
    </row>
    <row r="75" spans="2:19" ht="13.5" customHeight="1" thickBot="1" x14ac:dyDescent="0.3">
      <c r="B75" s="322"/>
      <c r="D75" s="961"/>
      <c r="E75" s="962"/>
      <c r="F75" s="963"/>
      <c r="H75" s="322"/>
      <c r="J75" s="827"/>
      <c r="L75" s="322"/>
      <c r="N75" s="827"/>
      <c r="P75" s="827"/>
      <c r="Q75" s="806"/>
      <c r="R75" s="960"/>
      <c r="S75" s="964"/>
    </row>
    <row r="76" spans="2:19" ht="13.5" customHeight="1" thickBot="1" x14ac:dyDescent="0.3">
      <c r="B76" s="322"/>
      <c r="D76" s="961"/>
      <c r="E76" s="962"/>
      <c r="F76" s="963"/>
      <c r="H76" s="322"/>
      <c r="J76" s="827"/>
      <c r="L76" s="322"/>
      <c r="N76" s="827"/>
      <c r="P76" s="827"/>
      <c r="Q76" s="806"/>
      <c r="R76" s="960"/>
      <c r="S76" s="964"/>
    </row>
    <row r="77" spans="2:19" ht="13.5" customHeight="1" thickBot="1" x14ac:dyDescent="0.3">
      <c r="B77" s="322"/>
      <c r="D77" s="961"/>
      <c r="E77" s="962"/>
      <c r="F77" s="963"/>
      <c r="H77" s="322"/>
      <c r="J77" s="827"/>
      <c r="L77" s="322"/>
      <c r="N77" s="827"/>
      <c r="P77" s="827"/>
      <c r="Q77" s="806"/>
      <c r="R77" s="960"/>
      <c r="S77" s="964"/>
    </row>
    <row r="78" spans="2:19" ht="13.5" customHeight="1" thickBot="1" x14ac:dyDescent="0.3">
      <c r="B78" s="322"/>
      <c r="D78" s="961"/>
      <c r="E78" s="962"/>
      <c r="F78" s="963"/>
      <c r="H78" s="322"/>
      <c r="J78" s="827"/>
      <c r="L78" s="322"/>
      <c r="N78" s="827"/>
      <c r="P78" s="827"/>
      <c r="Q78" s="806"/>
      <c r="R78" s="960"/>
      <c r="S78" s="964"/>
    </row>
    <row r="79" spans="2:19" ht="13.5" customHeight="1" thickBot="1" x14ac:dyDescent="0.3">
      <c r="B79" s="322"/>
      <c r="D79" s="961"/>
      <c r="E79" s="962"/>
      <c r="F79" s="963"/>
      <c r="H79" s="322"/>
      <c r="J79" s="827"/>
      <c r="L79" s="322"/>
      <c r="N79" s="827"/>
      <c r="P79" s="827"/>
      <c r="Q79" s="806"/>
      <c r="R79" s="960"/>
      <c r="S79" s="964"/>
    </row>
    <row r="80" spans="2:19" ht="13.5" customHeight="1" thickBot="1" x14ac:dyDescent="0.3">
      <c r="B80" s="322"/>
      <c r="D80" s="961"/>
      <c r="E80" s="962"/>
      <c r="F80" s="963"/>
      <c r="H80" s="322"/>
      <c r="J80" s="827"/>
      <c r="L80" s="322"/>
      <c r="N80" s="827"/>
      <c r="P80" s="827"/>
      <c r="Q80" s="806"/>
      <c r="R80" s="960"/>
      <c r="S80" s="964"/>
    </row>
    <row r="81" spans="2:19" ht="13.5" customHeight="1" thickBot="1" x14ac:dyDescent="0.3">
      <c r="B81" s="322"/>
      <c r="D81" s="961"/>
      <c r="E81" s="962"/>
      <c r="F81" s="963"/>
      <c r="H81" s="322"/>
      <c r="J81" s="827"/>
      <c r="L81" s="322"/>
      <c r="N81" s="827"/>
      <c r="P81" s="827"/>
      <c r="Q81" s="806"/>
      <c r="R81" s="960"/>
      <c r="S81" s="964"/>
    </row>
    <row r="82" spans="2:19" ht="13.5" customHeight="1" thickBot="1" x14ac:dyDescent="0.3">
      <c r="B82" s="322"/>
      <c r="D82" s="961"/>
      <c r="E82" s="962"/>
      <c r="F82" s="963"/>
      <c r="H82" s="322"/>
      <c r="J82" s="827"/>
      <c r="L82" s="322"/>
      <c r="N82" s="827"/>
      <c r="P82" s="827"/>
      <c r="Q82" s="806"/>
      <c r="R82" s="960"/>
      <c r="S82" s="964"/>
    </row>
    <row r="83" spans="2:19" ht="13.5" customHeight="1" thickBot="1" x14ac:dyDescent="0.3">
      <c r="B83" s="322"/>
      <c r="D83" s="961"/>
      <c r="E83" s="962"/>
      <c r="F83" s="963"/>
      <c r="H83" s="322"/>
      <c r="J83" s="827"/>
      <c r="L83" s="322"/>
      <c r="N83" s="827"/>
      <c r="P83" s="827"/>
      <c r="Q83" s="806"/>
      <c r="R83" s="960"/>
      <c r="S83" s="964"/>
    </row>
    <row r="84" spans="2:19" ht="13.5" customHeight="1" thickBot="1" x14ac:dyDescent="0.3">
      <c r="B84" s="322"/>
      <c r="D84" s="961"/>
      <c r="E84" s="962"/>
      <c r="F84" s="963"/>
      <c r="H84" s="322"/>
      <c r="J84" s="827"/>
      <c r="L84" s="322"/>
      <c r="N84" s="827"/>
      <c r="P84" s="827"/>
      <c r="Q84" s="806"/>
      <c r="R84" s="960"/>
      <c r="S84" s="964"/>
    </row>
    <row r="85" spans="2:19" ht="13.8" thickBot="1" x14ac:dyDescent="0.3">
      <c r="B85" s="322"/>
      <c r="D85" s="1592"/>
      <c r="E85" s="1593"/>
      <c r="F85" s="1594"/>
      <c r="H85" s="322"/>
      <c r="J85" s="827"/>
      <c r="L85" s="322"/>
      <c r="N85" s="827"/>
      <c r="P85" s="827"/>
      <c r="Q85" s="806"/>
      <c r="R85" s="1514"/>
      <c r="S85" s="1595"/>
    </row>
    <row r="86" spans="2:19" ht="13.8" thickBot="1" x14ac:dyDescent="0.3">
      <c r="B86" s="322"/>
      <c r="D86" s="1592"/>
      <c r="E86" s="1593"/>
      <c r="F86" s="1594"/>
      <c r="H86" s="322"/>
      <c r="J86" s="827"/>
      <c r="L86" s="322"/>
      <c r="N86" s="827"/>
      <c r="P86" s="827"/>
      <c r="Q86" s="828"/>
      <c r="R86" s="1514"/>
      <c r="S86" s="1595"/>
    </row>
    <row r="87" spans="2:19" ht="13.8" thickBot="1" x14ac:dyDescent="0.3">
      <c r="B87" s="322"/>
      <c r="D87" s="1592"/>
      <c r="E87" s="1593"/>
      <c r="F87" s="1594"/>
      <c r="H87" s="322"/>
      <c r="J87" s="827"/>
      <c r="L87" s="322"/>
      <c r="N87" s="827"/>
      <c r="P87" s="827"/>
      <c r="Q87" s="828"/>
      <c r="R87" s="1514"/>
      <c r="S87" s="1595"/>
    </row>
    <row r="88" spans="2:19" ht="13.8" thickBot="1" x14ac:dyDescent="0.3">
      <c r="B88" s="322"/>
      <c r="D88" s="1592"/>
      <c r="E88" s="1593"/>
      <c r="F88" s="1594"/>
      <c r="H88" s="322"/>
      <c r="J88" s="827"/>
      <c r="L88" s="322"/>
      <c r="N88" s="827"/>
      <c r="P88" s="827"/>
      <c r="Q88" s="828"/>
      <c r="R88" s="1514"/>
      <c r="S88" s="1595"/>
    </row>
    <row r="89" spans="2:19" ht="13.8" thickBot="1" x14ac:dyDescent="0.3">
      <c r="B89" s="322"/>
      <c r="D89" s="1592"/>
      <c r="E89" s="1593"/>
      <c r="F89" s="1594"/>
      <c r="H89" s="322"/>
      <c r="J89" s="827"/>
      <c r="L89" s="322"/>
      <c r="N89" s="827"/>
      <c r="P89" s="827"/>
      <c r="Q89" s="828"/>
      <c r="R89" s="1514"/>
      <c r="S89" s="1595"/>
    </row>
    <row r="90" spans="2:19" ht="13.8" thickBot="1" x14ac:dyDescent="0.3">
      <c r="B90" s="322"/>
      <c r="D90" s="1592"/>
      <c r="E90" s="1593"/>
      <c r="F90" s="1594"/>
      <c r="H90" s="322"/>
      <c r="J90" s="827"/>
      <c r="L90" s="322"/>
      <c r="N90" s="827"/>
      <c r="P90" s="827"/>
      <c r="Q90" s="828"/>
      <c r="R90" s="1514"/>
      <c r="S90" s="1595"/>
    </row>
    <row r="91" spans="2:19" ht="13.8" thickBot="1" x14ac:dyDescent="0.3">
      <c r="B91" s="322"/>
      <c r="D91" s="1592"/>
      <c r="E91" s="1593"/>
      <c r="F91" s="1594"/>
      <c r="H91" s="322"/>
      <c r="J91" s="827"/>
      <c r="L91" s="322"/>
      <c r="N91" s="827"/>
      <c r="P91" s="827"/>
      <c r="Q91" s="828"/>
      <c r="R91" s="1514"/>
      <c r="S91" s="1595"/>
    </row>
    <row r="92" spans="2:19" ht="13.8" thickBot="1" x14ac:dyDescent="0.3">
      <c r="B92" s="322"/>
      <c r="D92" s="1592"/>
      <c r="E92" s="1593"/>
      <c r="F92" s="1594"/>
      <c r="H92" s="322"/>
      <c r="J92" s="827"/>
      <c r="L92" s="322"/>
      <c r="N92" s="827"/>
      <c r="P92" s="827"/>
      <c r="Q92" s="828"/>
      <c r="R92" s="1514"/>
      <c r="S92" s="1595"/>
    </row>
    <row r="93" spans="2:19" ht="13.8" thickBot="1" x14ac:dyDescent="0.3">
      <c r="B93" s="322"/>
      <c r="D93" s="1592"/>
      <c r="E93" s="1593"/>
      <c r="F93" s="1594"/>
      <c r="H93" s="322"/>
      <c r="J93" s="827"/>
      <c r="L93" s="322"/>
      <c r="N93" s="827"/>
      <c r="P93" s="827"/>
      <c r="Q93" s="828"/>
      <c r="R93" s="1514"/>
      <c r="S93" s="1595"/>
    </row>
    <row r="94" spans="2:19" ht="13.8" thickBot="1" x14ac:dyDescent="0.3">
      <c r="B94" s="322"/>
      <c r="D94" s="1592"/>
      <c r="E94" s="1593"/>
      <c r="F94" s="1594"/>
      <c r="H94" s="322"/>
      <c r="J94" s="827"/>
      <c r="L94" s="322"/>
      <c r="N94" s="827"/>
      <c r="P94" s="827"/>
      <c r="Q94" s="828"/>
      <c r="R94" s="1514"/>
      <c r="S94" s="1595"/>
    </row>
    <row r="95" spans="2:19" ht="13.8" thickBot="1" x14ac:dyDescent="0.3">
      <c r="B95" s="322"/>
      <c r="D95" s="961"/>
      <c r="E95" s="962"/>
      <c r="F95" s="963"/>
      <c r="H95" s="322"/>
      <c r="J95" s="827"/>
      <c r="L95" s="322"/>
      <c r="N95" s="827"/>
      <c r="P95" s="827"/>
      <c r="Q95" s="828"/>
      <c r="R95" s="960"/>
      <c r="S95" s="964"/>
    </row>
    <row r="96" spans="2:19" ht="13.8" thickBot="1" x14ac:dyDescent="0.3">
      <c r="B96" s="322"/>
      <c r="D96" s="961"/>
      <c r="E96" s="962"/>
      <c r="F96" s="963"/>
      <c r="H96" s="322"/>
      <c r="J96" s="827"/>
      <c r="L96" s="322"/>
      <c r="N96" s="827"/>
      <c r="P96" s="827"/>
      <c r="Q96" s="828"/>
      <c r="R96" s="960"/>
      <c r="S96" s="964"/>
    </row>
    <row r="97" spans="2:19" ht="13.8" thickBot="1" x14ac:dyDescent="0.3">
      <c r="B97" s="322"/>
      <c r="D97" s="961"/>
      <c r="E97" s="962"/>
      <c r="F97" s="963"/>
      <c r="H97" s="322"/>
      <c r="J97" s="827"/>
      <c r="L97" s="322"/>
      <c r="N97" s="827"/>
      <c r="P97" s="827"/>
      <c r="Q97" s="828"/>
      <c r="R97" s="960"/>
      <c r="S97" s="964"/>
    </row>
    <row r="98" spans="2:19" ht="13.8" thickBot="1" x14ac:dyDescent="0.3">
      <c r="B98" s="322"/>
      <c r="D98" s="961"/>
      <c r="E98" s="962"/>
      <c r="F98" s="963"/>
      <c r="H98" s="322"/>
      <c r="J98" s="827"/>
      <c r="L98" s="322"/>
      <c r="N98" s="827"/>
      <c r="P98" s="827"/>
      <c r="Q98" s="828"/>
      <c r="R98" s="960"/>
      <c r="S98" s="964"/>
    </row>
    <row r="99" spans="2:19" ht="13.8" thickBot="1" x14ac:dyDescent="0.3">
      <c r="B99" s="322"/>
      <c r="D99" s="961"/>
      <c r="E99" s="962"/>
      <c r="F99" s="963"/>
      <c r="H99" s="322"/>
      <c r="J99" s="827"/>
      <c r="L99" s="322"/>
      <c r="N99" s="827"/>
      <c r="P99" s="827"/>
      <c r="Q99" s="828"/>
      <c r="R99" s="960"/>
      <c r="S99" s="964"/>
    </row>
    <row r="100" spans="2:19" ht="13.8" thickBot="1" x14ac:dyDescent="0.3">
      <c r="B100" s="322"/>
      <c r="D100" s="961"/>
      <c r="E100" s="962"/>
      <c r="F100" s="963"/>
      <c r="H100" s="322"/>
      <c r="J100" s="827"/>
      <c r="L100" s="322"/>
      <c r="N100" s="827"/>
      <c r="P100" s="827"/>
      <c r="Q100" s="828"/>
      <c r="R100" s="960"/>
      <c r="S100" s="964"/>
    </row>
    <row r="101" spans="2:19" ht="13.8" thickBot="1" x14ac:dyDescent="0.3">
      <c r="B101" s="322"/>
      <c r="D101" s="961"/>
      <c r="E101" s="962"/>
      <c r="F101" s="963"/>
      <c r="H101" s="322"/>
      <c r="J101" s="827"/>
      <c r="L101" s="322"/>
      <c r="N101" s="827"/>
      <c r="P101" s="827"/>
      <c r="Q101" s="828"/>
      <c r="R101" s="960"/>
      <c r="S101" s="964"/>
    </row>
    <row r="102" spans="2:19" ht="13.8" thickBot="1" x14ac:dyDescent="0.3">
      <c r="B102" s="322"/>
      <c r="D102" s="961"/>
      <c r="E102" s="962"/>
      <c r="F102" s="963"/>
      <c r="H102" s="322"/>
      <c r="J102" s="827"/>
      <c r="L102" s="322"/>
      <c r="N102" s="827"/>
      <c r="P102" s="827"/>
      <c r="Q102" s="828"/>
      <c r="R102" s="960"/>
      <c r="S102" s="964"/>
    </row>
    <row r="103" spans="2:19" ht="13.8" thickBot="1" x14ac:dyDescent="0.3">
      <c r="B103" s="322"/>
      <c r="D103" s="961"/>
      <c r="E103" s="962"/>
      <c r="F103" s="963"/>
      <c r="H103" s="322"/>
      <c r="J103" s="827"/>
      <c r="L103" s="322"/>
      <c r="N103" s="827"/>
      <c r="P103" s="827"/>
      <c r="Q103" s="828"/>
      <c r="R103" s="960"/>
      <c r="S103" s="964"/>
    </row>
    <row r="104" spans="2:19" ht="13.8" thickBot="1" x14ac:dyDescent="0.3">
      <c r="B104" s="322"/>
      <c r="D104" s="961"/>
      <c r="E104" s="962"/>
      <c r="F104" s="963"/>
      <c r="H104" s="322"/>
      <c r="J104" s="827"/>
      <c r="L104" s="322"/>
      <c r="N104" s="827"/>
      <c r="P104" s="827"/>
      <c r="Q104" s="828"/>
      <c r="R104" s="960"/>
      <c r="S104" s="964"/>
    </row>
    <row r="105" spans="2:19" ht="13.8" thickBot="1" x14ac:dyDescent="0.3">
      <c r="B105" s="322"/>
      <c r="D105" s="961"/>
      <c r="E105" s="962"/>
      <c r="F105" s="963"/>
      <c r="H105" s="322"/>
      <c r="J105" s="827"/>
      <c r="L105" s="322"/>
      <c r="N105" s="827"/>
      <c r="P105" s="827"/>
      <c r="Q105" s="828"/>
      <c r="R105" s="960"/>
      <c r="S105" s="964"/>
    </row>
    <row r="106" spans="2:19" ht="13.8" thickBot="1" x14ac:dyDescent="0.3">
      <c r="B106" s="322"/>
      <c r="D106" s="961"/>
      <c r="E106" s="962"/>
      <c r="F106" s="963"/>
      <c r="H106" s="322"/>
      <c r="J106" s="827"/>
      <c r="L106" s="322"/>
      <c r="N106" s="827"/>
      <c r="P106" s="827"/>
      <c r="Q106" s="828"/>
      <c r="R106" s="960"/>
      <c r="S106" s="964"/>
    </row>
    <row r="107" spans="2:19" ht="13.8" thickBot="1" x14ac:dyDescent="0.3">
      <c r="B107" s="322"/>
      <c r="D107" s="961"/>
      <c r="E107" s="962"/>
      <c r="F107" s="963"/>
      <c r="H107" s="322"/>
      <c r="J107" s="827"/>
      <c r="L107" s="322"/>
      <c r="N107" s="827"/>
      <c r="P107" s="827"/>
      <c r="Q107" s="828"/>
      <c r="R107" s="960"/>
      <c r="S107" s="964"/>
    </row>
    <row r="108" spans="2:19" ht="13.8" thickBot="1" x14ac:dyDescent="0.3">
      <c r="B108" s="322"/>
      <c r="D108" s="1592"/>
      <c r="E108" s="1593"/>
      <c r="F108" s="1594"/>
      <c r="H108" s="322"/>
      <c r="J108" s="827"/>
      <c r="L108" s="322"/>
      <c r="N108" s="827"/>
      <c r="P108" s="827"/>
      <c r="Q108" s="828"/>
      <c r="R108" s="1514"/>
      <c r="S108" s="1595"/>
    </row>
    <row r="109" spans="2:19" ht="13.8" thickBot="1" x14ac:dyDescent="0.3">
      <c r="B109" s="322"/>
      <c r="D109" s="1592"/>
      <c r="E109" s="1593"/>
      <c r="F109" s="1594"/>
      <c r="H109" s="322"/>
      <c r="J109" s="827"/>
      <c r="L109" s="322"/>
      <c r="N109" s="827"/>
      <c r="P109" s="827"/>
      <c r="Q109" s="828"/>
      <c r="R109" s="1514"/>
      <c r="S109" s="1595"/>
    </row>
    <row r="110" spans="2:19" ht="13.8" thickBot="1" x14ac:dyDescent="0.3">
      <c r="B110" s="322"/>
      <c r="D110" s="1592"/>
      <c r="E110" s="1593"/>
      <c r="F110" s="1594"/>
      <c r="H110" s="322"/>
      <c r="J110" s="827"/>
      <c r="L110" s="322"/>
      <c r="N110" s="827"/>
      <c r="P110" s="827"/>
      <c r="Q110" s="828"/>
      <c r="R110" s="1514"/>
      <c r="S110" s="1595"/>
    </row>
    <row r="111" spans="2:19" ht="13.8" thickBot="1" x14ac:dyDescent="0.3">
      <c r="B111" s="322"/>
      <c r="D111" s="1592"/>
      <c r="E111" s="1593"/>
      <c r="F111" s="1594"/>
      <c r="H111" s="322"/>
      <c r="J111" s="827"/>
      <c r="L111" s="322"/>
      <c r="N111" s="827"/>
      <c r="P111" s="827"/>
      <c r="Q111" s="828"/>
      <c r="R111" s="1514"/>
      <c r="S111" s="1595"/>
    </row>
    <row r="112" spans="2:19" ht="13.8" thickBot="1" x14ac:dyDescent="0.3">
      <c r="B112" s="322"/>
      <c r="D112" s="1592"/>
      <c r="E112" s="1593"/>
      <c r="F112" s="1594"/>
      <c r="H112" s="322"/>
      <c r="J112" s="827"/>
      <c r="L112" s="322"/>
      <c r="N112" s="827"/>
      <c r="P112" s="827"/>
      <c r="Q112" s="828"/>
      <c r="R112" s="1514"/>
      <c r="S112" s="1595"/>
    </row>
    <row r="113" spans="2:19" ht="13.8" thickBot="1" x14ac:dyDescent="0.3">
      <c r="B113" s="322"/>
      <c r="D113" s="1592"/>
      <c r="E113" s="1593"/>
      <c r="F113" s="1594"/>
      <c r="H113" s="322"/>
      <c r="J113" s="827"/>
      <c r="L113" s="322"/>
      <c r="N113" s="827"/>
      <c r="P113" s="827"/>
      <c r="Q113" s="828"/>
      <c r="R113" s="1514"/>
      <c r="S113" s="1595"/>
    </row>
    <row r="114" spans="2:19" ht="13.8" thickBot="1" x14ac:dyDescent="0.3">
      <c r="B114" s="322"/>
      <c r="D114" s="1592"/>
      <c r="E114" s="1593"/>
      <c r="F114" s="1594"/>
      <c r="H114" s="322"/>
      <c r="J114" s="827"/>
      <c r="L114" s="322"/>
      <c r="N114" s="827"/>
      <c r="P114" s="827"/>
      <c r="Q114" s="828"/>
      <c r="R114" s="1514"/>
      <c r="S114" s="1595"/>
    </row>
    <row r="115" spans="2:19" ht="13.8" thickBot="1" x14ac:dyDescent="0.3">
      <c r="B115" s="322"/>
      <c r="D115" s="1592"/>
      <c r="E115" s="1593"/>
      <c r="F115" s="1594"/>
      <c r="H115" s="322"/>
      <c r="J115" s="827"/>
      <c r="L115" s="322"/>
      <c r="N115" s="827"/>
      <c r="P115" s="827"/>
      <c r="Q115" s="828"/>
      <c r="R115" s="1514"/>
      <c r="S115" s="1595"/>
    </row>
    <row r="116" spans="2:19" ht="13.8" thickBot="1" x14ac:dyDescent="0.3">
      <c r="B116" s="322"/>
      <c r="D116" s="1592"/>
      <c r="E116" s="1593"/>
      <c r="F116" s="1594"/>
      <c r="H116" s="322"/>
      <c r="J116" s="827"/>
      <c r="L116" s="322"/>
      <c r="N116" s="827"/>
      <c r="P116" s="827"/>
      <c r="Q116" s="828"/>
      <c r="R116" s="1514"/>
      <c r="S116" s="1595"/>
    </row>
    <row r="117" spans="2:19" ht="13.8" thickBot="1" x14ac:dyDescent="0.3">
      <c r="B117" s="322"/>
      <c r="D117" s="1592"/>
      <c r="E117" s="1593"/>
      <c r="F117" s="1594"/>
      <c r="H117" s="322"/>
      <c r="J117" s="827"/>
      <c r="L117" s="322"/>
      <c r="N117" s="827"/>
      <c r="P117" s="827"/>
      <c r="Q117" s="828"/>
      <c r="R117" s="1514"/>
      <c r="S117" s="1595"/>
    </row>
    <row r="118" spans="2:19" ht="13.8" thickBot="1" x14ac:dyDescent="0.3">
      <c r="B118" s="322"/>
      <c r="D118" s="1592"/>
      <c r="E118" s="1593"/>
      <c r="F118" s="1594"/>
      <c r="H118" s="322"/>
      <c r="J118" s="827"/>
      <c r="L118" s="322"/>
      <c r="N118" s="827"/>
      <c r="P118" s="827"/>
      <c r="Q118" s="828"/>
      <c r="R118" s="1514"/>
      <c r="S118" s="1595"/>
    </row>
    <row r="119" spans="2:19" ht="13.8" thickBot="1" x14ac:dyDescent="0.3">
      <c r="B119" s="322"/>
      <c r="D119" s="1592"/>
      <c r="E119" s="1593"/>
      <c r="F119" s="1594"/>
      <c r="H119" s="322"/>
      <c r="J119" s="827"/>
      <c r="L119" s="322"/>
      <c r="N119" s="827"/>
      <c r="P119" s="827"/>
      <c r="Q119" s="828"/>
      <c r="R119" s="1514"/>
      <c r="S119" s="1595"/>
    </row>
    <row r="120" spans="2:19" ht="13.8" thickBot="1" x14ac:dyDescent="0.3">
      <c r="B120" s="322"/>
      <c r="D120" s="1592"/>
      <c r="E120" s="1593"/>
      <c r="F120" s="1594"/>
      <c r="H120" s="322"/>
      <c r="J120" s="827"/>
      <c r="L120" s="322"/>
      <c r="N120" s="827"/>
      <c r="P120" s="827"/>
      <c r="Q120" s="828"/>
      <c r="R120" s="1514"/>
      <c r="S120" s="1595"/>
    </row>
    <row r="121" spans="2:19" ht="13.8" thickBot="1" x14ac:dyDescent="0.3">
      <c r="B121" s="322"/>
      <c r="D121" s="1592"/>
      <c r="E121" s="1593"/>
      <c r="F121" s="1594"/>
      <c r="H121" s="322"/>
      <c r="J121" s="827"/>
      <c r="L121" s="322"/>
      <c r="N121" s="827"/>
      <c r="P121" s="827"/>
      <c r="Q121" s="828"/>
      <c r="R121" s="1514"/>
      <c r="S121" s="1595"/>
    </row>
    <row r="122" spans="2:19" ht="13.8" thickBot="1" x14ac:dyDescent="0.3">
      <c r="B122" s="322"/>
      <c r="D122" s="1592"/>
      <c r="E122" s="1593"/>
      <c r="F122" s="1594"/>
      <c r="H122" s="322"/>
      <c r="J122" s="827"/>
      <c r="L122" s="322"/>
      <c r="N122" s="827"/>
      <c r="P122" s="827"/>
      <c r="Q122" s="828"/>
      <c r="R122" s="1514"/>
      <c r="S122" s="1595"/>
    </row>
    <row r="123" spans="2:19" ht="13.8" thickBot="1" x14ac:dyDescent="0.3">
      <c r="B123" s="322"/>
      <c r="D123" s="1592"/>
      <c r="E123" s="1593"/>
      <c r="F123" s="1594"/>
      <c r="H123" s="322"/>
      <c r="J123" s="827"/>
      <c r="L123" s="322"/>
      <c r="N123" s="827"/>
      <c r="P123" s="827"/>
      <c r="Q123" s="828"/>
      <c r="R123" s="1514"/>
      <c r="S123" s="1595"/>
    </row>
    <row r="124" spans="2:19" ht="20.25" customHeight="1" thickBot="1" x14ac:dyDescent="0.3">
      <c r="B124" s="829"/>
      <c r="D124" s="829"/>
      <c r="E124" s="829"/>
      <c r="F124" s="829"/>
      <c r="H124" s="829"/>
      <c r="J124" s="829"/>
      <c r="L124" s="829"/>
      <c r="N124" s="830"/>
      <c r="Q124" s="828"/>
      <c r="R124" s="829"/>
      <c r="S124" s="829"/>
    </row>
    <row r="125" spans="2:19" ht="13.8" thickBot="1" x14ac:dyDescent="0.3">
      <c r="B125" s="831" t="str">
        <f>IF(COUNTA(B8:B124)=0,"",COUNTA(B8:B124))</f>
        <v/>
      </c>
      <c r="D125" s="832" t="s">
        <v>924</v>
      </c>
      <c r="E125" s="829"/>
      <c r="F125" s="829"/>
      <c r="H125" s="829"/>
      <c r="J125" s="829"/>
      <c r="L125" s="829"/>
      <c r="N125" s="830"/>
      <c r="Q125" s="833" t="s">
        <v>925</v>
      </c>
      <c r="R125" s="834" t="s">
        <v>926</v>
      </c>
    </row>
    <row r="126" spans="2:19" ht="9.9" customHeight="1" x14ac:dyDescent="0.25">
      <c r="J126" s="829"/>
      <c r="L126" s="829"/>
      <c r="N126" s="830"/>
      <c r="P126" s="835"/>
      <c r="R126" s="834" t="s">
        <v>927</v>
      </c>
    </row>
    <row r="127" spans="2:19" x14ac:dyDescent="0.25">
      <c r="B127" s="836" t="s">
        <v>928</v>
      </c>
      <c r="C127" s="836"/>
      <c r="D127" s="836"/>
      <c r="E127" s="836"/>
      <c r="F127" s="836"/>
      <c r="G127" s="836"/>
      <c r="H127" s="836"/>
      <c r="I127" s="836"/>
      <c r="J127" s="829"/>
      <c r="K127" s="836"/>
      <c r="L127" s="836"/>
      <c r="M127" s="836"/>
      <c r="N127" s="837"/>
      <c r="O127" s="836"/>
      <c r="R127" s="834" t="s">
        <v>929</v>
      </c>
    </row>
    <row r="128" spans="2:19" x14ac:dyDescent="0.25">
      <c r="B128" s="838" t="s">
        <v>930</v>
      </c>
      <c r="J128" s="839"/>
      <c r="R128" s="834" t="s">
        <v>226</v>
      </c>
    </row>
    <row r="129" spans="1:20" x14ac:dyDescent="0.25">
      <c r="B129" s="838" t="s">
        <v>931</v>
      </c>
    </row>
    <row r="130" spans="1:20" ht="13.8" thickBot="1" x14ac:dyDescent="0.3"/>
    <row r="131" spans="1:20" ht="24.9" customHeight="1" thickBot="1" x14ac:dyDescent="0.3">
      <c r="E131" s="841" t="s">
        <v>932</v>
      </c>
      <c r="F131" s="1601"/>
      <c r="G131" s="1602"/>
      <c r="H131" s="1602"/>
      <c r="I131" s="1602"/>
      <c r="J131" s="1602"/>
      <c r="K131" s="1602"/>
      <c r="L131" s="1603"/>
    </row>
    <row r="132" spans="1:20" ht="9.9" customHeight="1" thickBot="1" x14ac:dyDescent="0.3"/>
    <row r="133" spans="1:20" x14ac:dyDescent="0.25">
      <c r="E133" s="841"/>
      <c r="F133" s="1604"/>
      <c r="G133" s="1605"/>
      <c r="H133" s="1605"/>
      <c r="I133" s="1605"/>
      <c r="J133" s="1605"/>
      <c r="K133" s="1605"/>
      <c r="L133" s="1606"/>
    </row>
    <row r="134" spans="1:20" ht="13.8" thickBot="1" x14ac:dyDescent="0.3">
      <c r="E134" s="841" t="s">
        <v>933</v>
      </c>
      <c r="F134" s="1598"/>
      <c r="G134" s="1599"/>
      <c r="H134" s="1599"/>
      <c r="I134" s="1599"/>
      <c r="J134" s="1599"/>
      <c r="K134" s="1599"/>
      <c r="L134" s="1600"/>
    </row>
    <row r="135" spans="1:20" ht="9.9" customHeight="1" thickBot="1" x14ac:dyDescent="0.3"/>
    <row r="136" spans="1:20" x14ac:dyDescent="0.25">
      <c r="E136" s="841"/>
      <c r="F136" s="1604"/>
      <c r="G136" s="1605"/>
      <c r="H136" s="1605"/>
      <c r="I136" s="1605"/>
      <c r="J136" s="1605"/>
      <c r="K136" s="1605"/>
      <c r="L136" s="1606"/>
    </row>
    <row r="137" spans="1:20" ht="13.8" thickBot="1" x14ac:dyDescent="0.3">
      <c r="E137" s="841" t="s">
        <v>934</v>
      </c>
      <c r="F137" s="1598"/>
      <c r="G137" s="1599"/>
      <c r="H137" s="1599"/>
      <c r="I137" s="1599"/>
      <c r="J137" s="1599"/>
      <c r="K137" s="1599"/>
      <c r="L137" s="1600"/>
    </row>
    <row r="138" spans="1:20" x14ac:dyDescent="0.25">
      <c r="B138" s="838"/>
    </row>
    <row r="139" spans="1:20" x14ac:dyDescent="0.25">
      <c r="B139" s="838"/>
    </row>
    <row r="140" spans="1:20" ht="9.9" customHeight="1" x14ac:dyDescent="0.25"/>
    <row r="141" spans="1:20" x14ac:dyDescent="0.25">
      <c r="E141" s="841"/>
      <c r="F141" s="841"/>
      <c r="G141" s="841"/>
      <c r="H141" s="841"/>
      <c r="I141" s="841"/>
      <c r="K141" s="841"/>
      <c r="L141" s="841"/>
      <c r="M141" s="841"/>
      <c r="N141" s="842"/>
      <c r="O141" s="841"/>
      <c r="P141" s="841"/>
      <c r="Q141" s="841"/>
      <c r="S141" s="841"/>
    </row>
    <row r="142" spans="1:20" s="306" customFormat="1" ht="24" customHeight="1" x14ac:dyDescent="0.25">
      <c r="A142" s="307"/>
      <c r="B142" s="307"/>
      <c r="C142" s="813"/>
      <c r="D142" s="307"/>
      <c r="E142" s="307"/>
      <c r="F142" s="307"/>
      <c r="G142" s="307"/>
      <c r="H142" s="307"/>
      <c r="I142" s="307"/>
      <c r="J142" s="307"/>
      <c r="K142" s="307"/>
      <c r="L142" s="307"/>
      <c r="M142" s="307"/>
      <c r="N142" s="307"/>
      <c r="P142" s="308"/>
      <c r="T142" s="307"/>
    </row>
    <row r="144" spans="1:20" x14ac:dyDescent="0.25">
      <c r="B144" s="307"/>
    </row>
  </sheetData>
  <mergeCells count="62">
    <mergeCell ref="F137:L137"/>
    <mergeCell ref="D123:F123"/>
    <mergeCell ref="R123:S123"/>
    <mergeCell ref="F131:L131"/>
    <mergeCell ref="F133:L133"/>
    <mergeCell ref="F134:L134"/>
    <mergeCell ref="F136:L136"/>
    <mergeCell ref="D120:F120"/>
    <mergeCell ref="R120:S120"/>
    <mergeCell ref="D121:F121"/>
    <mergeCell ref="R121:S121"/>
    <mergeCell ref="D122:F122"/>
    <mergeCell ref="R122:S122"/>
    <mergeCell ref="D117:F117"/>
    <mergeCell ref="R117:S117"/>
    <mergeCell ref="D118:F118"/>
    <mergeCell ref="R118:S118"/>
    <mergeCell ref="D119:F119"/>
    <mergeCell ref="R119:S119"/>
    <mergeCell ref="D114:F114"/>
    <mergeCell ref="R114:S114"/>
    <mergeCell ref="D115:F115"/>
    <mergeCell ref="R115:S115"/>
    <mergeCell ref="D116:F116"/>
    <mergeCell ref="R116:S116"/>
    <mergeCell ref="D111:F111"/>
    <mergeCell ref="R111:S111"/>
    <mergeCell ref="D112:F112"/>
    <mergeCell ref="R112:S112"/>
    <mergeCell ref="D113:F113"/>
    <mergeCell ref="R113:S113"/>
    <mergeCell ref="D108:F108"/>
    <mergeCell ref="R108:S108"/>
    <mergeCell ref="D109:F109"/>
    <mergeCell ref="R109:S109"/>
    <mergeCell ref="D110:F110"/>
    <mergeCell ref="R110:S110"/>
    <mergeCell ref="D92:F92"/>
    <mergeCell ref="R92:S92"/>
    <mergeCell ref="D93:F93"/>
    <mergeCell ref="R93:S93"/>
    <mergeCell ref="D94:F94"/>
    <mergeCell ref="R94:S94"/>
    <mergeCell ref="D89:F89"/>
    <mergeCell ref="R89:S89"/>
    <mergeCell ref="D90:F90"/>
    <mergeCell ref="R90:S90"/>
    <mergeCell ref="D91:F91"/>
    <mergeCell ref="R91:S91"/>
    <mergeCell ref="D86:F86"/>
    <mergeCell ref="R86:S86"/>
    <mergeCell ref="D87:F87"/>
    <mergeCell ref="R87:S87"/>
    <mergeCell ref="D88:F88"/>
    <mergeCell ref="R88:S88"/>
    <mergeCell ref="D85:F85"/>
    <mergeCell ref="R85:S85"/>
    <mergeCell ref="D6:F6"/>
    <mergeCell ref="O6:Q6"/>
    <mergeCell ref="R6:S6"/>
    <mergeCell ref="D8:F8"/>
    <mergeCell ref="R8:S8"/>
  </mergeCells>
  <printOptions horizontalCentered="1" gridLinesSet="0"/>
  <pageMargins left="0.25" right="0.25" top="0.5" bottom="0.05" header="0.5" footer="0.38"/>
  <pageSetup scale="97"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J126"/>
  <sheetViews>
    <sheetView showGridLines="0" zoomScaleNormal="100" zoomScaleSheetLayoutView="110" workbookViewId="0">
      <selection activeCell="V109" sqref="V109"/>
    </sheetView>
  </sheetViews>
  <sheetFormatPr defaultColWidth="9.109375" defaultRowHeight="13.2" x14ac:dyDescent="0.25"/>
  <cols>
    <col min="1" max="1" width="2.6640625" style="540" customWidth="1"/>
    <col min="2" max="3" width="5.6640625" style="540" customWidth="1"/>
    <col min="4" max="4" width="12" style="540" bestFit="1" customWidth="1"/>
    <col min="5" max="5" width="5.6640625" style="540" customWidth="1"/>
    <col min="6" max="6" width="11.6640625" style="844" customWidth="1"/>
    <col min="7" max="7" width="5.6640625" style="540" customWidth="1"/>
    <col min="8" max="8" width="11.6640625" style="844" customWidth="1"/>
    <col min="9" max="9" width="5.6640625" style="540" customWidth="1"/>
    <col min="10" max="10" width="12.109375" style="844" customWidth="1"/>
    <col min="11" max="11" width="2.6640625" style="540" customWidth="1"/>
    <col min="12" max="16384" width="9.109375" style="540"/>
  </cols>
  <sheetData>
    <row r="1" spans="2:10" x14ac:dyDescent="0.25">
      <c r="B1" s="539" t="s">
        <v>588</v>
      </c>
      <c r="F1" s="843"/>
      <c r="J1" s="541" t="str">
        <f>'Project Information'!D4</f>
        <v>Project Name</v>
      </c>
    </row>
    <row r="2" spans="2:10" x14ac:dyDescent="0.25">
      <c r="B2" s="539"/>
      <c r="F2" s="843"/>
      <c r="J2" s="843"/>
    </row>
    <row r="3" spans="2:10" ht="13.8" thickBot="1" x14ac:dyDescent="0.3">
      <c r="B3" s="845" t="s">
        <v>935</v>
      </c>
      <c r="C3" s="846"/>
      <c r="D3" s="846"/>
      <c r="E3" s="846"/>
      <c r="F3" s="847"/>
      <c r="G3" s="846"/>
      <c r="H3" s="847"/>
      <c r="I3" s="847"/>
      <c r="J3" s="847"/>
    </row>
    <row r="4" spans="2:10" ht="30" customHeight="1" thickTop="1" x14ac:dyDescent="0.25">
      <c r="B4" s="848" t="s">
        <v>917</v>
      </c>
      <c r="D4" s="849" t="s">
        <v>936</v>
      </c>
      <c r="F4" s="850" t="s">
        <v>937</v>
      </c>
      <c r="H4" s="850" t="s">
        <v>938</v>
      </c>
      <c r="J4" s="850" t="s">
        <v>939</v>
      </c>
    </row>
    <row r="5" spans="2:10" ht="13.5" customHeight="1" thickBot="1" x14ac:dyDescent="0.3">
      <c r="B5" s="851"/>
    </row>
    <row r="6" spans="2:10" ht="13.5" customHeight="1" thickBot="1" x14ac:dyDescent="0.3">
      <c r="B6" s="852"/>
      <c r="D6" s="852"/>
      <c r="F6" s="280"/>
      <c r="H6" s="280"/>
      <c r="J6" s="853" t="str">
        <f>IF(OR(F6=0,H6=0),"",IF(H6/F6&lt;1.1,"",H6/F6-1))</f>
        <v/>
      </c>
    </row>
    <row r="7" spans="2:10" ht="13.5" customHeight="1" thickBot="1" x14ac:dyDescent="0.3">
      <c r="B7" s="852"/>
      <c r="D7" s="852"/>
      <c r="F7" s="280"/>
      <c r="H7" s="280"/>
      <c r="J7" s="853" t="str">
        <f t="shared" ref="J7:J70" si="0">IF(OR(F7=0,H7=0),"",IF(H7/F7&lt;1.1,"",H7/F7-1))</f>
        <v/>
      </c>
    </row>
    <row r="8" spans="2:10" ht="13.5" customHeight="1" thickBot="1" x14ac:dyDescent="0.3">
      <c r="B8" s="852"/>
      <c r="D8" s="852"/>
      <c r="F8" s="280"/>
      <c r="H8" s="280"/>
      <c r="J8" s="853" t="str">
        <f t="shared" si="0"/>
        <v/>
      </c>
    </row>
    <row r="9" spans="2:10" ht="13.5" customHeight="1" thickBot="1" x14ac:dyDescent="0.3">
      <c r="B9" s="852"/>
      <c r="D9" s="852"/>
      <c r="F9" s="280"/>
      <c r="H9" s="280"/>
      <c r="J9" s="853" t="str">
        <f t="shared" si="0"/>
        <v/>
      </c>
    </row>
    <row r="10" spans="2:10" ht="13.5" customHeight="1" thickBot="1" x14ac:dyDescent="0.3">
      <c r="B10" s="852"/>
      <c r="D10" s="852"/>
      <c r="F10" s="280"/>
      <c r="H10" s="280"/>
      <c r="J10" s="853" t="str">
        <f t="shared" si="0"/>
        <v/>
      </c>
    </row>
    <row r="11" spans="2:10" ht="13.5" customHeight="1" thickBot="1" x14ac:dyDescent="0.3">
      <c r="B11" s="852"/>
      <c r="D11" s="852"/>
      <c r="F11" s="280"/>
      <c r="H11" s="280"/>
      <c r="J11" s="853" t="str">
        <f t="shared" si="0"/>
        <v/>
      </c>
    </row>
    <row r="12" spans="2:10" ht="13.5" customHeight="1" thickBot="1" x14ac:dyDescent="0.3">
      <c r="B12" s="852"/>
      <c r="D12" s="852"/>
      <c r="F12" s="280"/>
      <c r="H12" s="280"/>
      <c r="J12" s="853" t="str">
        <f t="shared" si="0"/>
        <v/>
      </c>
    </row>
    <row r="13" spans="2:10" ht="13.5" customHeight="1" thickBot="1" x14ac:dyDescent="0.3">
      <c r="B13" s="852"/>
      <c r="D13" s="852"/>
      <c r="F13" s="280"/>
      <c r="H13" s="280"/>
      <c r="J13" s="853" t="str">
        <f t="shared" si="0"/>
        <v/>
      </c>
    </row>
    <row r="14" spans="2:10" ht="13.5" customHeight="1" thickBot="1" x14ac:dyDescent="0.3">
      <c r="B14" s="852"/>
      <c r="D14" s="852"/>
      <c r="F14" s="280"/>
      <c r="H14" s="280"/>
      <c r="J14" s="853" t="str">
        <f t="shared" si="0"/>
        <v/>
      </c>
    </row>
    <row r="15" spans="2:10" ht="13.5" customHeight="1" thickBot="1" x14ac:dyDescent="0.3">
      <c r="B15" s="852"/>
      <c r="D15" s="852"/>
      <c r="F15" s="280"/>
      <c r="H15" s="280"/>
      <c r="J15" s="853" t="str">
        <f t="shared" si="0"/>
        <v/>
      </c>
    </row>
    <row r="16" spans="2:10" ht="13.5" customHeight="1" thickBot="1" x14ac:dyDescent="0.3">
      <c r="B16" s="852"/>
      <c r="D16" s="852"/>
      <c r="F16" s="280"/>
      <c r="H16" s="280"/>
      <c r="J16" s="853" t="str">
        <f t="shared" si="0"/>
        <v/>
      </c>
    </row>
    <row r="17" spans="2:10" ht="13.5" customHeight="1" thickBot="1" x14ac:dyDescent="0.3">
      <c r="B17" s="852"/>
      <c r="D17" s="852"/>
      <c r="F17" s="280"/>
      <c r="H17" s="280"/>
      <c r="J17" s="853" t="str">
        <f t="shared" si="0"/>
        <v/>
      </c>
    </row>
    <row r="18" spans="2:10" ht="13.5" customHeight="1" thickBot="1" x14ac:dyDescent="0.3">
      <c r="B18" s="852"/>
      <c r="D18" s="852"/>
      <c r="F18" s="280"/>
      <c r="H18" s="280"/>
      <c r="J18" s="853" t="str">
        <f t="shared" si="0"/>
        <v/>
      </c>
    </row>
    <row r="19" spans="2:10" ht="13.5" customHeight="1" thickBot="1" x14ac:dyDescent="0.3">
      <c r="B19" s="852"/>
      <c r="D19" s="852"/>
      <c r="F19" s="280"/>
      <c r="H19" s="280"/>
      <c r="J19" s="853" t="str">
        <f t="shared" si="0"/>
        <v/>
      </c>
    </row>
    <row r="20" spans="2:10" ht="13.5" customHeight="1" thickBot="1" x14ac:dyDescent="0.3">
      <c r="B20" s="852"/>
      <c r="D20" s="852"/>
      <c r="F20" s="280"/>
      <c r="H20" s="280"/>
      <c r="J20" s="853" t="str">
        <f t="shared" si="0"/>
        <v/>
      </c>
    </row>
    <row r="21" spans="2:10" ht="13.5" customHeight="1" thickBot="1" x14ac:dyDescent="0.3">
      <c r="B21" s="852"/>
      <c r="D21" s="852"/>
      <c r="F21" s="280"/>
      <c r="H21" s="280"/>
      <c r="J21" s="853" t="str">
        <f t="shared" si="0"/>
        <v/>
      </c>
    </row>
    <row r="22" spans="2:10" ht="13.5" customHeight="1" thickBot="1" x14ac:dyDescent="0.3">
      <c r="B22" s="852"/>
      <c r="D22" s="852"/>
      <c r="F22" s="280"/>
      <c r="H22" s="280"/>
      <c r="J22" s="853" t="str">
        <f t="shared" si="0"/>
        <v/>
      </c>
    </row>
    <row r="23" spans="2:10" ht="13.5" customHeight="1" thickBot="1" x14ac:dyDescent="0.3">
      <c r="B23" s="852"/>
      <c r="D23" s="852"/>
      <c r="F23" s="280"/>
      <c r="H23" s="280"/>
      <c r="J23" s="853" t="str">
        <f t="shared" si="0"/>
        <v/>
      </c>
    </row>
    <row r="24" spans="2:10" ht="13.5" customHeight="1" thickBot="1" x14ac:dyDescent="0.3">
      <c r="B24" s="852"/>
      <c r="D24" s="852"/>
      <c r="F24" s="280"/>
      <c r="H24" s="280"/>
      <c r="J24" s="853" t="str">
        <f t="shared" si="0"/>
        <v/>
      </c>
    </row>
    <row r="25" spans="2:10" ht="13.5" customHeight="1" thickBot="1" x14ac:dyDescent="0.3">
      <c r="B25" s="852"/>
      <c r="D25" s="852"/>
      <c r="F25" s="280"/>
      <c r="H25" s="280"/>
      <c r="J25" s="853" t="str">
        <f t="shared" si="0"/>
        <v/>
      </c>
    </row>
    <row r="26" spans="2:10" ht="13.5" customHeight="1" thickBot="1" x14ac:dyDescent="0.3">
      <c r="B26" s="852"/>
      <c r="D26" s="852"/>
      <c r="F26" s="280"/>
      <c r="H26" s="280"/>
      <c r="J26" s="853" t="str">
        <f t="shared" si="0"/>
        <v/>
      </c>
    </row>
    <row r="27" spans="2:10" ht="13.5" customHeight="1" thickBot="1" x14ac:dyDescent="0.3">
      <c r="B27" s="852"/>
      <c r="D27" s="852"/>
      <c r="F27" s="280"/>
      <c r="H27" s="280"/>
      <c r="J27" s="853" t="str">
        <f t="shared" si="0"/>
        <v/>
      </c>
    </row>
    <row r="28" spans="2:10" ht="13.5" customHeight="1" thickBot="1" x14ac:dyDescent="0.3">
      <c r="B28" s="852"/>
      <c r="D28" s="852"/>
      <c r="F28" s="280"/>
      <c r="H28" s="280"/>
      <c r="J28" s="853" t="str">
        <f t="shared" si="0"/>
        <v/>
      </c>
    </row>
    <row r="29" spans="2:10" ht="13.5" customHeight="1" thickBot="1" x14ac:dyDescent="0.3">
      <c r="B29" s="852"/>
      <c r="D29" s="852"/>
      <c r="F29" s="280"/>
      <c r="H29" s="280"/>
      <c r="J29" s="853" t="str">
        <f t="shared" si="0"/>
        <v/>
      </c>
    </row>
    <row r="30" spans="2:10" ht="13.5" customHeight="1" thickBot="1" x14ac:dyDescent="0.3">
      <c r="B30" s="852"/>
      <c r="D30" s="852"/>
      <c r="F30" s="280"/>
      <c r="H30" s="280"/>
      <c r="J30" s="853" t="str">
        <f t="shared" si="0"/>
        <v/>
      </c>
    </row>
    <row r="31" spans="2:10" ht="13.5" customHeight="1" thickBot="1" x14ac:dyDescent="0.3">
      <c r="B31" s="852"/>
      <c r="D31" s="852"/>
      <c r="F31" s="280"/>
      <c r="H31" s="280"/>
      <c r="J31" s="853" t="str">
        <f t="shared" si="0"/>
        <v/>
      </c>
    </row>
    <row r="32" spans="2:10" ht="13.5" customHeight="1" thickBot="1" x14ac:dyDescent="0.3">
      <c r="B32" s="852"/>
      <c r="D32" s="852"/>
      <c r="F32" s="280"/>
      <c r="H32" s="280"/>
      <c r="J32" s="853" t="str">
        <f t="shared" si="0"/>
        <v/>
      </c>
    </row>
    <row r="33" spans="2:10" ht="13.5" customHeight="1" thickBot="1" x14ac:dyDescent="0.3">
      <c r="B33" s="852"/>
      <c r="D33" s="852"/>
      <c r="F33" s="280"/>
      <c r="H33" s="280"/>
      <c r="J33" s="853" t="str">
        <f t="shared" si="0"/>
        <v/>
      </c>
    </row>
    <row r="34" spans="2:10" ht="13.5" customHeight="1" thickBot="1" x14ac:dyDescent="0.3">
      <c r="B34" s="852"/>
      <c r="D34" s="852"/>
      <c r="F34" s="280"/>
      <c r="H34" s="280"/>
      <c r="J34" s="853" t="str">
        <f t="shared" si="0"/>
        <v/>
      </c>
    </row>
    <row r="35" spans="2:10" ht="13.5" customHeight="1" thickBot="1" x14ac:dyDescent="0.3">
      <c r="B35" s="852"/>
      <c r="D35" s="852"/>
      <c r="F35" s="280"/>
      <c r="H35" s="280"/>
      <c r="J35" s="853" t="str">
        <f t="shared" si="0"/>
        <v/>
      </c>
    </row>
    <row r="36" spans="2:10" ht="13.5" customHeight="1" thickBot="1" x14ac:dyDescent="0.3">
      <c r="B36" s="852"/>
      <c r="D36" s="852"/>
      <c r="F36" s="280"/>
      <c r="H36" s="280"/>
      <c r="J36" s="853" t="str">
        <f t="shared" si="0"/>
        <v/>
      </c>
    </row>
    <row r="37" spans="2:10" ht="13.5" customHeight="1" thickBot="1" x14ac:dyDescent="0.3">
      <c r="B37" s="852"/>
      <c r="D37" s="852"/>
      <c r="F37" s="280"/>
      <c r="H37" s="280"/>
      <c r="J37" s="853" t="str">
        <f t="shared" si="0"/>
        <v/>
      </c>
    </row>
    <row r="38" spans="2:10" ht="13.5" customHeight="1" thickBot="1" x14ac:dyDescent="0.3">
      <c r="B38" s="852"/>
      <c r="D38" s="852"/>
      <c r="F38" s="280"/>
      <c r="H38" s="280"/>
      <c r="J38" s="853" t="str">
        <f t="shared" si="0"/>
        <v/>
      </c>
    </row>
    <row r="39" spans="2:10" ht="13.5" customHeight="1" thickBot="1" x14ac:dyDescent="0.3">
      <c r="B39" s="852"/>
      <c r="D39" s="852"/>
      <c r="F39" s="280"/>
      <c r="H39" s="280"/>
      <c r="J39" s="853" t="str">
        <f t="shared" si="0"/>
        <v/>
      </c>
    </row>
    <row r="40" spans="2:10" ht="13.5" customHeight="1" thickBot="1" x14ac:dyDescent="0.3">
      <c r="B40" s="852"/>
      <c r="D40" s="852"/>
      <c r="F40" s="280"/>
      <c r="H40" s="280"/>
      <c r="J40" s="853" t="str">
        <f t="shared" si="0"/>
        <v/>
      </c>
    </row>
    <row r="41" spans="2:10" ht="13.5" customHeight="1" thickBot="1" x14ac:dyDescent="0.3">
      <c r="B41" s="852"/>
      <c r="D41" s="852"/>
      <c r="F41" s="280"/>
      <c r="H41" s="280"/>
      <c r="J41" s="853" t="str">
        <f t="shared" si="0"/>
        <v/>
      </c>
    </row>
    <row r="42" spans="2:10" ht="13.5" customHeight="1" thickBot="1" x14ac:dyDescent="0.3">
      <c r="B42" s="852"/>
      <c r="D42" s="852"/>
      <c r="F42" s="280"/>
      <c r="H42" s="280"/>
      <c r="J42" s="853" t="str">
        <f t="shared" si="0"/>
        <v/>
      </c>
    </row>
    <row r="43" spans="2:10" ht="13.5" customHeight="1" thickBot="1" x14ac:dyDescent="0.3">
      <c r="B43" s="852"/>
      <c r="D43" s="852"/>
      <c r="F43" s="280"/>
      <c r="H43" s="280"/>
      <c r="J43" s="853" t="str">
        <f t="shared" si="0"/>
        <v/>
      </c>
    </row>
    <row r="44" spans="2:10" ht="13.5" customHeight="1" thickBot="1" x14ac:dyDescent="0.3">
      <c r="B44" s="852"/>
      <c r="D44" s="852"/>
      <c r="F44" s="280"/>
      <c r="H44" s="280"/>
      <c r="J44" s="853" t="str">
        <f t="shared" si="0"/>
        <v/>
      </c>
    </row>
    <row r="45" spans="2:10" ht="13.5" customHeight="1" thickBot="1" x14ac:dyDescent="0.3">
      <c r="B45" s="852"/>
      <c r="D45" s="852"/>
      <c r="F45" s="280"/>
      <c r="H45" s="280"/>
      <c r="J45" s="853" t="str">
        <f t="shared" si="0"/>
        <v/>
      </c>
    </row>
    <row r="46" spans="2:10" ht="13.5" customHeight="1" thickBot="1" x14ac:dyDescent="0.3">
      <c r="B46" s="852"/>
      <c r="D46" s="852"/>
      <c r="F46" s="280"/>
      <c r="H46" s="280"/>
      <c r="J46" s="853" t="str">
        <f t="shared" si="0"/>
        <v/>
      </c>
    </row>
    <row r="47" spans="2:10" ht="13.5" customHeight="1" thickBot="1" x14ac:dyDescent="0.3">
      <c r="B47" s="852"/>
      <c r="D47" s="852"/>
      <c r="F47" s="280"/>
      <c r="H47" s="280"/>
      <c r="J47" s="853" t="str">
        <f t="shared" si="0"/>
        <v/>
      </c>
    </row>
    <row r="48" spans="2:10" ht="13.5" customHeight="1" thickBot="1" x14ac:dyDescent="0.3">
      <c r="B48" s="852"/>
      <c r="D48" s="852"/>
      <c r="F48" s="280"/>
      <c r="H48" s="280"/>
      <c r="J48" s="853" t="str">
        <f t="shared" si="0"/>
        <v/>
      </c>
    </row>
    <row r="49" spans="2:10" ht="13.5" customHeight="1" thickBot="1" x14ac:dyDescent="0.3">
      <c r="B49" s="852"/>
      <c r="D49" s="852"/>
      <c r="F49" s="280"/>
      <c r="H49" s="280"/>
      <c r="J49" s="853" t="str">
        <f t="shared" si="0"/>
        <v/>
      </c>
    </row>
    <row r="50" spans="2:10" ht="13.5" customHeight="1" thickBot="1" x14ac:dyDescent="0.3">
      <c r="B50" s="852"/>
      <c r="D50" s="852"/>
      <c r="F50" s="280"/>
      <c r="H50" s="280"/>
      <c r="J50" s="853" t="str">
        <f t="shared" si="0"/>
        <v/>
      </c>
    </row>
    <row r="51" spans="2:10" ht="13.5" customHeight="1" thickBot="1" x14ac:dyDescent="0.3">
      <c r="B51" s="852"/>
      <c r="D51" s="852"/>
      <c r="F51" s="280"/>
      <c r="H51" s="280"/>
      <c r="J51" s="853" t="str">
        <f t="shared" si="0"/>
        <v/>
      </c>
    </row>
    <row r="52" spans="2:10" ht="13.5" customHeight="1" thickBot="1" x14ac:dyDescent="0.3">
      <c r="B52" s="852"/>
      <c r="D52" s="852"/>
      <c r="F52" s="280"/>
      <c r="H52" s="280"/>
      <c r="J52" s="853" t="str">
        <f t="shared" si="0"/>
        <v/>
      </c>
    </row>
    <row r="53" spans="2:10" ht="13.5" customHeight="1" thickBot="1" x14ac:dyDescent="0.3">
      <c r="B53" s="852"/>
      <c r="D53" s="852"/>
      <c r="F53" s="280"/>
      <c r="H53" s="280"/>
      <c r="J53" s="853" t="str">
        <f t="shared" si="0"/>
        <v/>
      </c>
    </row>
    <row r="54" spans="2:10" ht="13.5" customHeight="1" thickBot="1" x14ac:dyDescent="0.3">
      <c r="B54" s="852"/>
      <c r="D54" s="852"/>
      <c r="F54" s="280"/>
      <c r="H54" s="280"/>
      <c r="J54" s="853" t="str">
        <f t="shared" si="0"/>
        <v/>
      </c>
    </row>
    <row r="55" spans="2:10" ht="13.5" customHeight="1" thickBot="1" x14ac:dyDescent="0.3">
      <c r="B55" s="852"/>
      <c r="D55" s="852"/>
      <c r="F55" s="280"/>
      <c r="H55" s="280"/>
      <c r="J55" s="853" t="str">
        <f t="shared" si="0"/>
        <v/>
      </c>
    </row>
    <row r="56" spans="2:10" ht="13.5" customHeight="1" thickBot="1" x14ac:dyDescent="0.3">
      <c r="B56" s="852"/>
      <c r="D56" s="852"/>
      <c r="F56" s="280"/>
      <c r="H56" s="280"/>
      <c r="J56" s="853" t="str">
        <f t="shared" si="0"/>
        <v/>
      </c>
    </row>
    <row r="57" spans="2:10" ht="13.5" customHeight="1" thickBot="1" x14ac:dyDescent="0.3">
      <c r="B57" s="852"/>
      <c r="D57" s="852"/>
      <c r="F57" s="280"/>
      <c r="H57" s="280"/>
      <c r="J57" s="853" t="str">
        <f t="shared" si="0"/>
        <v/>
      </c>
    </row>
    <row r="58" spans="2:10" ht="13.5" customHeight="1" thickBot="1" x14ac:dyDescent="0.3">
      <c r="B58" s="852"/>
      <c r="D58" s="852"/>
      <c r="F58" s="280"/>
      <c r="H58" s="280"/>
      <c r="J58" s="853" t="str">
        <f t="shared" si="0"/>
        <v/>
      </c>
    </row>
    <row r="59" spans="2:10" ht="13.5" customHeight="1" thickBot="1" x14ac:dyDescent="0.3">
      <c r="B59" s="852"/>
      <c r="D59" s="852"/>
      <c r="F59" s="280"/>
      <c r="H59" s="280"/>
      <c r="J59" s="853" t="str">
        <f t="shared" si="0"/>
        <v/>
      </c>
    </row>
    <row r="60" spans="2:10" ht="13.5" customHeight="1" thickBot="1" x14ac:dyDescent="0.3">
      <c r="B60" s="852"/>
      <c r="D60" s="852"/>
      <c r="F60" s="280"/>
      <c r="H60" s="280"/>
      <c r="J60" s="853" t="str">
        <f t="shared" si="0"/>
        <v/>
      </c>
    </row>
    <row r="61" spans="2:10" ht="13.5" customHeight="1" thickBot="1" x14ac:dyDescent="0.3">
      <c r="B61" s="852"/>
      <c r="D61" s="852"/>
      <c r="F61" s="280"/>
      <c r="H61" s="280"/>
      <c r="J61" s="853" t="str">
        <f t="shared" si="0"/>
        <v/>
      </c>
    </row>
    <row r="62" spans="2:10" ht="13.5" customHeight="1" thickBot="1" x14ac:dyDescent="0.3">
      <c r="B62" s="852"/>
      <c r="D62" s="852"/>
      <c r="F62" s="280"/>
      <c r="H62" s="280"/>
      <c r="J62" s="853" t="str">
        <f t="shared" si="0"/>
        <v/>
      </c>
    </row>
    <row r="63" spans="2:10" ht="13.5" customHeight="1" thickBot="1" x14ac:dyDescent="0.3">
      <c r="B63" s="852"/>
      <c r="D63" s="852"/>
      <c r="F63" s="280"/>
      <c r="H63" s="280"/>
      <c r="J63" s="853" t="str">
        <f t="shared" si="0"/>
        <v/>
      </c>
    </row>
    <row r="64" spans="2:10" ht="13.5" customHeight="1" thickBot="1" x14ac:dyDescent="0.3">
      <c r="B64" s="852"/>
      <c r="D64" s="852"/>
      <c r="F64" s="280"/>
      <c r="H64" s="280"/>
      <c r="J64" s="853" t="str">
        <f t="shared" si="0"/>
        <v/>
      </c>
    </row>
    <row r="65" spans="2:10" ht="13.5" customHeight="1" thickBot="1" x14ac:dyDescent="0.3">
      <c r="B65" s="852"/>
      <c r="D65" s="852"/>
      <c r="F65" s="280"/>
      <c r="H65" s="280"/>
      <c r="J65" s="853" t="str">
        <f t="shared" si="0"/>
        <v/>
      </c>
    </row>
    <row r="66" spans="2:10" ht="13.5" customHeight="1" thickBot="1" x14ac:dyDescent="0.3">
      <c r="B66" s="852"/>
      <c r="D66" s="852"/>
      <c r="F66" s="280"/>
      <c r="H66" s="280"/>
      <c r="J66" s="853" t="str">
        <f t="shared" si="0"/>
        <v/>
      </c>
    </row>
    <row r="67" spans="2:10" ht="13.5" customHeight="1" thickBot="1" x14ac:dyDescent="0.3">
      <c r="B67" s="852"/>
      <c r="D67" s="852"/>
      <c r="F67" s="280"/>
      <c r="H67" s="280"/>
      <c r="J67" s="853" t="str">
        <f t="shared" si="0"/>
        <v/>
      </c>
    </row>
    <row r="68" spans="2:10" ht="13.5" customHeight="1" thickBot="1" x14ac:dyDescent="0.3">
      <c r="B68" s="852"/>
      <c r="D68" s="852"/>
      <c r="F68" s="280"/>
      <c r="H68" s="280"/>
      <c r="J68" s="853" t="str">
        <f t="shared" si="0"/>
        <v/>
      </c>
    </row>
    <row r="69" spans="2:10" ht="13.5" customHeight="1" thickBot="1" x14ac:dyDescent="0.3">
      <c r="B69" s="852"/>
      <c r="D69" s="852"/>
      <c r="F69" s="280"/>
      <c r="H69" s="280"/>
      <c r="J69" s="853" t="str">
        <f t="shared" si="0"/>
        <v/>
      </c>
    </row>
    <row r="70" spans="2:10" ht="13.5" customHeight="1" thickBot="1" x14ac:dyDescent="0.3">
      <c r="B70" s="852"/>
      <c r="D70" s="852"/>
      <c r="F70" s="280"/>
      <c r="H70" s="280"/>
      <c r="J70" s="853" t="str">
        <f t="shared" si="0"/>
        <v/>
      </c>
    </row>
    <row r="71" spans="2:10" ht="13.5" customHeight="1" thickBot="1" x14ac:dyDescent="0.3">
      <c r="B71" s="852"/>
      <c r="D71" s="852"/>
      <c r="F71" s="280"/>
      <c r="H71" s="280"/>
      <c r="J71" s="853" t="str">
        <f t="shared" ref="J71:J119" si="1">IF(OR(F71=0,H71=0),"",IF(H71/F71&lt;1.1,"",H71/F71-1))</f>
        <v/>
      </c>
    </row>
    <row r="72" spans="2:10" ht="13.5" customHeight="1" thickBot="1" x14ac:dyDescent="0.3">
      <c r="B72" s="852"/>
      <c r="D72" s="852"/>
      <c r="F72" s="280"/>
      <c r="H72" s="280"/>
      <c r="J72" s="853" t="str">
        <f t="shared" si="1"/>
        <v/>
      </c>
    </row>
    <row r="73" spans="2:10" ht="13.5" customHeight="1" thickBot="1" x14ac:dyDescent="0.3">
      <c r="B73" s="852"/>
      <c r="D73" s="852"/>
      <c r="F73" s="280"/>
      <c r="H73" s="280"/>
      <c r="J73" s="853" t="str">
        <f t="shared" si="1"/>
        <v/>
      </c>
    </row>
    <row r="74" spans="2:10" ht="13.5" customHeight="1" thickBot="1" x14ac:dyDescent="0.3">
      <c r="B74" s="852"/>
      <c r="D74" s="852"/>
      <c r="F74" s="280"/>
      <c r="H74" s="280"/>
      <c r="J74" s="853" t="str">
        <f t="shared" si="1"/>
        <v/>
      </c>
    </row>
    <row r="75" spans="2:10" ht="13.5" customHeight="1" thickBot="1" x14ac:dyDescent="0.3">
      <c r="B75" s="852"/>
      <c r="D75" s="852"/>
      <c r="F75" s="280"/>
      <c r="H75" s="280"/>
      <c r="J75" s="853" t="str">
        <f t="shared" si="1"/>
        <v/>
      </c>
    </row>
    <row r="76" spans="2:10" ht="13.5" customHeight="1" thickBot="1" x14ac:dyDescent="0.3">
      <c r="B76" s="852"/>
      <c r="D76" s="852"/>
      <c r="F76" s="280"/>
      <c r="H76" s="280"/>
      <c r="J76" s="853" t="str">
        <f t="shared" si="1"/>
        <v/>
      </c>
    </row>
    <row r="77" spans="2:10" ht="13.5" customHeight="1" thickBot="1" x14ac:dyDescent="0.3">
      <c r="B77" s="852"/>
      <c r="D77" s="852"/>
      <c r="F77" s="280"/>
      <c r="H77" s="280"/>
      <c r="J77" s="853" t="str">
        <f t="shared" si="1"/>
        <v/>
      </c>
    </row>
    <row r="78" spans="2:10" ht="13.5" customHeight="1" thickBot="1" x14ac:dyDescent="0.3">
      <c r="B78" s="852"/>
      <c r="D78" s="852"/>
      <c r="F78" s="280"/>
      <c r="H78" s="280"/>
      <c r="J78" s="853" t="str">
        <f t="shared" si="1"/>
        <v/>
      </c>
    </row>
    <row r="79" spans="2:10" ht="13.5" customHeight="1" thickBot="1" x14ac:dyDescent="0.3">
      <c r="B79" s="852"/>
      <c r="D79" s="852"/>
      <c r="F79" s="280"/>
      <c r="H79" s="280"/>
      <c r="J79" s="853" t="str">
        <f t="shared" si="1"/>
        <v/>
      </c>
    </row>
    <row r="80" spans="2:10" ht="13.5" customHeight="1" thickBot="1" x14ac:dyDescent="0.3">
      <c r="B80" s="852"/>
      <c r="D80" s="852"/>
      <c r="F80" s="280"/>
      <c r="H80" s="280"/>
      <c r="J80" s="853" t="str">
        <f t="shared" si="1"/>
        <v/>
      </c>
    </row>
    <row r="81" spans="2:10" ht="13.8" thickBot="1" x14ac:dyDescent="0.3">
      <c r="B81" s="852"/>
      <c r="D81" s="852"/>
      <c r="F81" s="280"/>
      <c r="H81" s="280"/>
      <c r="J81" s="853" t="str">
        <f t="shared" si="1"/>
        <v/>
      </c>
    </row>
    <row r="82" spans="2:10" ht="13.8" thickBot="1" x14ac:dyDescent="0.3">
      <c r="B82" s="852"/>
      <c r="D82" s="852"/>
      <c r="F82" s="280"/>
      <c r="H82" s="280"/>
      <c r="J82" s="853" t="str">
        <f t="shared" si="1"/>
        <v/>
      </c>
    </row>
    <row r="83" spans="2:10" ht="13.8" thickBot="1" x14ac:dyDescent="0.3">
      <c r="B83" s="852"/>
      <c r="D83" s="852"/>
      <c r="F83" s="280"/>
      <c r="H83" s="280"/>
      <c r="J83" s="853" t="str">
        <f t="shared" si="1"/>
        <v/>
      </c>
    </row>
    <row r="84" spans="2:10" ht="13.8" thickBot="1" x14ac:dyDescent="0.3">
      <c r="B84" s="852"/>
      <c r="D84" s="852"/>
      <c r="F84" s="280"/>
      <c r="H84" s="280"/>
      <c r="J84" s="853" t="str">
        <f t="shared" si="1"/>
        <v/>
      </c>
    </row>
    <row r="85" spans="2:10" ht="13.8" thickBot="1" x14ac:dyDescent="0.3">
      <c r="B85" s="852"/>
      <c r="D85" s="852"/>
      <c r="F85" s="280"/>
      <c r="H85" s="280"/>
      <c r="J85" s="853" t="str">
        <f t="shared" si="1"/>
        <v/>
      </c>
    </row>
    <row r="86" spans="2:10" ht="13.8" thickBot="1" x14ac:dyDescent="0.3">
      <c r="B86" s="852"/>
      <c r="D86" s="852"/>
      <c r="F86" s="280"/>
      <c r="H86" s="280"/>
      <c r="J86" s="853" t="str">
        <f t="shared" si="1"/>
        <v/>
      </c>
    </row>
    <row r="87" spans="2:10" ht="13.8" thickBot="1" x14ac:dyDescent="0.3">
      <c r="B87" s="852"/>
      <c r="D87" s="852"/>
      <c r="F87" s="280"/>
      <c r="H87" s="280"/>
      <c r="J87" s="853" t="str">
        <f t="shared" si="1"/>
        <v/>
      </c>
    </row>
    <row r="88" spans="2:10" ht="13.8" thickBot="1" x14ac:dyDescent="0.3">
      <c r="B88" s="852"/>
      <c r="D88" s="852"/>
      <c r="F88" s="280"/>
      <c r="H88" s="280"/>
      <c r="J88" s="853" t="str">
        <f t="shared" si="1"/>
        <v/>
      </c>
    </row>
    <row r="89" spans="2:10" ht="13.8" thickBot="1" x14ac:dyDescent="0.3">
      <c r="B89" s="852"/>
      <c r="D89" s="852"/>
      <c r="F89" s="280"/>
      <c r="H89" s="280"/>
      <c r="J89" s="853" t="str">
        <f t="shared" si="1"/>
        <v/>
      </c>
    </row>
    <row r="90" spans="2:10" ht="13.8" thickBot="1" x14ac:dyDescent="0.3">
      <c r="B90" s="852"/>
      <c r="D90" s="852"/>
      <c r="F90" s="280"/>
      <c r="H90" s="280"/>
      <c r="J90" s="853" t="str">
        <f t="shared" si="1"/>
        <v/>
      </c>
    </row>
    <row r="91" spans="2:10" ht="13.8" thickBot="1" x14ac:dyDescent="0.3">
      <c r="B91" s="852"/>
      <c r="D91" s="852"/>
      <c r="F91" s="280"/>
      <c r="H91" s="280"/>
      <c r="J91" s="853" t="str">
        <f t="shared" si="1"/>
        <v/>
      </c>
    </row>
    <row r="92" spans="2:10" ht="13.8" thickBot="1" x14ac:dyDescent="0.3">
      <c r="B92" s="852"/>
      <c r="D92" s="852"/>
      <c r="F92" s="280"/>
      <c r="H92" s="280"/>
      <c r="J92" s="853" t="str">
        <f t="shared" si="1"/>
        <v/>
      </c>
    </row>
    <row r="93" spans="2:10" ht="13.8" thickBot="1" x14ac:dyDescent="0.3">
      <c r="B93" s="852"/>
      <c r="D93" s="852"/>
      <c r="F93" s="280"/>
      <c r="H93" s="280"/>
      <c r="J93" s="853" t="str">
        <f t="shared" si="1"/>
        <v/>
      </c>
    </row>
    <row r="94" spans="2:10" ht="13.8" thickBot="1" x14ac:dyDescent="0.3">
      <c r="B94" s="852"/>
      <c r="D94" s="852"/>
      <c r="F94" s="280"/>
      <c r="H94" s="280"/>
      <c r="J94" s="853" t="str">
        <f t="shared" si="1"/>
        <v/>
      </c>
    </row>
    <row r="95" spans="2:10" ht="13.8" thickBot="1" x14ac:dyDescent="0.3">
      <c r="B95" s="852"/>
      <c r="D95" s="852"/>
      <c r="F95" s="280"/>
      <c r="H95" s="280"/>
      <c r="J95" s="853" t="str">
        <f t="shared" si="1"/>
        <v/>
      </c>
    </row>
    <row r="96" spans="2:10" ht="13.8" thickBot="1" x14ac:dyDescent="0.3">
      <c r="B96" s="852"/>
      <c r="D96" s="852"/>
      <c r="F96" s="280"/>
      <c r="H96" s="280"/>
      <c r="J96" s="853" t="str">
        <f t="shared" si="1"/>
        <v/>
      </c>
    </row>
    <row r="97" spans="2:10" ht="13.8" thickBot="1" x14ac:dyDescent="0.3">
      <c r="B97" s="852"/>
      <c r="D97" s="852"/>
      <c r="F97" s="280"/>
      <c r="H97" s="280"/>
      <c r="J97" s="853" t="str">
        <f t="shared" si="1"/>
        <v/>
      </c>
    </row>
    <row r="98" spans="2:10" ht="13.8" thickBot="1" x14ac:dyDescent="0.3">
      <c r="B98" s="852"/>
      <c r="D98" s="852"/>
      <c r="F98" s="280"/>
      <c r="H98" s="280"/>
      <c r="J98" s="853" t="str">
        <f t="shared" si="1"/>
        <v/>
      </c>
    </row>
    <row r="99" spans="2:10" ht="13.8" thickBot="1" x14ac:dyDescent="0.3">
      <c r="B99" s="852"/>
      <c r="D99" s="852"/>
      <c r="F99" s="280"/>
      <c r="H99" s="280"/>
      <c r="J99" s="853" t="str">
        <f t="shared" si="1"/>
        <v/>
      </c>
    </row>
    <row r="100" spans="2:10" ht="13.8" thickBot="1" x14ac:dyDescent="0.3">
      <c r="B100" s="852"/>
      <c r="D100" s="852"/>
      <c r="F100" s="280"/>
      <c r="H100" s="280"/>
      <c r="J100" s="853" t="str">
        <f t="shared" si="1"/>
        <v/>
      </c>
    </row>
    <row r="101" spans="2:10" ht="13.8" thickBot="1" x14ac:dyDescent="0.3">
      <c r="B101" s="852"/>
      <c r="D101" s="852"/>
      <c r="F101" s="280"/>
      <c r="H101" s="280"/>
      <c r="J101" s="853" t="str">
        <f t="shared" si="1"/>
        <v/>
      </c>
    </row>
    <row r="102" spans="2:10" ht="13.8" thickBot="1" x14ac:dyDescent="0.3">
      <c r="B102" s="852"/>
      <c r="D102" s="852"/>
      <c r="F102" s="280"/>
      <c r="H102" s="280"/>
      <c r="J102" s="853" t="str">
        <f t="shared" si="1"/>
        <v/>
      </c>
    </row>
    <row r="103" spans="2:10" ht="13.8" thickBot="1" x14ac:dyDescent="0.3">
      <c r="B103" s="852"/>
      <c r="D103" s="852"/>
      <c r="F103" s="280"/>
      <c r="H103" s="280"/>
      <c r="J103" s="853" t="str">
        <f t="shared" si="1"/>
        <v/>
      </c>
    </row>
    <row r="104" spans="2:10" ht="13.8" thickBot="1" x14ac:dyDescent="0.3">
      <c r="B104" s="852"/>
      <c r="D104" s="852"/>
      <c r="F104" s="280"/>
      <c r="H104" s="280"/>
      <c r="J104" s="853" t="str">
        <f t="shared" si="1"/>
        <v/>
      </c>
    </row>
    <row r="105" spans="2:10" ht="13.8" thickBot="1" x14ac:dyDescent="0.3">
      <c r="B105" s="852"/>
      <c r="D105" s="852"/>
      <c r="F105" s="280"/>
      <c r="H105" s="280"/>
      <c r="J105" s="853" t="str">
        <f t="shared" si="1"/>
        <v/>
      </c>
    </row>
    <row r="106" spans="2:10" ht="13.8" thickBot="1" x14ac:dyDescent="0.3">
      <c r="B106" s="852"/>
      <c r="D106" s="852"/>
      <c r="F106" s="280"/>
      <c r="H106" s="280"/>
      <c r="J106" s="853" t="str">
        <f t="shared" si="1"/>
        <v/>
      </c>
    </row>
    <row r="107" spans="2:10" ht="13.8" thickBot="1" x14ac:dyDescent="0.3">
      <c r="B107" s="852"/>
      <c r="D107" s="852"/>
      <c r="F107" s="280"/>
      <c r="H107" s="280"/>
      <c r="J107" s="853" t="str">
        <f t="shared" si="1"/>
        <v/>
      </c>
    </row>
    <row r="108" spans="2:10" ht="13.8" thickBot="1" x14ac:dyDescent="0.3">
      <c r="B108" s="852"/>
      <c r="D108" s="852"/>
      <c r="F108" s="280"/>
      <c r="H108" s="280"/>
      <c r="J108" s="853" t="str">
        <f t="shared" si="1"/>
        <v/>
      </c>
    </row>
    <row r="109" spans="2:10" ht="13.8" thickBot="1" x14ac:dyDescent="0.3">
      <c r="B109" s="852"/>
      <c r="D109" s="852"/>
      <c r="F109" s="280"/>
      <c r="H109" s="280"/>
      <c r="J109" s="853" t="str">
        <f t="shared" si="1"/>
        <v/>
      </c>
    </row>
    <row r="110" spans="2:10" ht="13.8" thickBot="1" x14ac:dyDescent="0.3">
      <c r="B110" s="852"/>
      <c r="D110" s="852"/>
      <c r="F110" s="280"/>
      <c r="H110" s="280"/>
      <c r="J110" s="853" t="str">
        <f t="shared" si="1"/>
        <v/>
      </c>
    </row>
    <row r="111" spans="2:10" ht="13.8" thickBot="1" x14ac:dyDescent="0.3">
      <c r="B111" s="852"/>
      <c r="D111" s="852"/>
      <c r="F111" s="280"/>
      <c r="H111" s="280"/>
      <c r="J111" s="853" t="str">
        <f t="shared" si="1"/>
        <v/>
      </c>
    </row>
    <row r="112" spans="2:10" ht="13.8" thickBot="1" x14ac:dyDescent="0.3">
      <c r="B112" s="852"/>
      <c r="D112" s="852"/>
      <c r="F112" s="280"/>
      <c r="H112" s="280"/>
      <c r="J112" s="853" t="str">
        <f t="shared" si="1"/>
        <v/>
      </c>
    </row>
    <row r="113" spans="1:10" ht="13.8" thickBot="1" x14ac:dyDescent="0.3">
      <c r="B113" s="852"/>
      <c r="D113" s="852"/>
      <c r="F113" s="280"/>
      <c r="H113" s="280"/>
      <c r="J113" s="853" t="str">
        <f t="shared" si="1"/>
        <v/>
      </c>
    </row>
    <row r="114" spans="1:10" ht="13.8" thickBot="1" x14ac:dyDescent="0.3">
      <c r="B114" s="852"/>
      <c r="D114" s="852"/>
      <c r="F114" s="280"/>
      <c r="H114" s="280"/>
      <c r="J114" s="853" t="str">
        <f t="shared" si="1"/>
        <v/>
      </c>
    </row>
    <row r="115" spans="1:10" ht="13.8" thickBot="1" x14ac:dyDescent="0.3">
      <c r="B115" s="852"/>
      <c r="D115" s="852"/>
      <c r="F115" s="280"/>
      <c r="H115" s="280"/>
      <c r="J115" s="853" t="str">
        <f t="shared" si="1"/>
        <v/>
      </c>
    </row>
    <row r="116" spans="1:10" ht="13.8" thickBot="1" x14ac:dyDescent="0.3">
      <c r="B116" s="852"/>
      <c r="D116" s="852"/>
      <c r="F116" s="280"/>
      <c r="H116" s="280"/>
      <c r="J116" s="853" t="str">
        <f t="shared" si="1"/>
        <v/>
      </c>
    </row>
    <row r="117" spans="1:10" ht="13.8" thickBot="1" x14ac:dyDescent="0.3">
      <c r="B117" s="852"/>
      <c r="D117" s="852"/>
      <c r="F117" s="280"/>
      <c r="H117" s="280"/>
      <c r="J117" s="853" t="str">
        <f t="shared" si="1"/>
        <v/>
      </c>
    </row>
    <row r="118" spans="1:10" ht="13.8" thickBot="1" x14ac:dyDescent="0.3">
      <c r="B118" s="852"/>
      <c r="D118" s="852"/>
      <c r="F118" s="280"/>
      <c r="H118" s="280"/>
      <c r="J118" s="853" t="str">
        <f t="shared" si="1"/>
        <v/>
      </c>
    </row>
    <row r="119" spans="1:10" ht="13.8" thickBot="1" x14ac:dyDescent="0.3">
      <c r="B119" s="852"/>
      <c r="D119" s="852"/>
      <c r="F119" s="280"/>
      <c r="H119" s="280"/>
      <c r="J119" s="853" t="str">
        <f t="shared" si="1"/>
        <v/>
      </c>
    </row>
    <row r="120" spans="1:10" ht="20.25" customHeight="1" x14ac:dyDescent="0.25">
      <c r="B120" s="854"/>
      <c r="D120" s="854"/>
      <c r="F120" s="245"/>
      <c r="H120" s="245"/>
      <c r="I120" s="855"/>
      <c r="J120" s="856"/>
    </row>
    <row r="121" spans="1:10" x14ac:dyDescent="0.25">
      <c r="B121" s="857" t="str">
        <f>IF(COUNTA(B6:B120)=0,"",COUNTA(B6:B120))</f>
        <v/>
      </c>
      <c r="D121" s="858" t="s">
        <v>940</v>
      </c>
      <c r="F121" s="859" t="str">
        <f>IF(COUNT(F6:F120)=0,"",SUM(F6:F120))</f>
        <v/>
      </c>
      <c r="H121" s="859" t="str">
        <f>IF(COUNT(H6:H120)=0,"",SUM(H6:H120))</f>
        <v/>
      </c>
      <c r="J121" s="860" t="str">
        <f>IF(F121="","",H121/F121-1)</f>
        <v/>
      </c>
    </row>
    <row r="122" spans="1:10" x14ac:dyDescent="0.25">
      <c r="B122" s="854"/>
      <c r="D122" s="858"/>
      <c r="F122" s="245"/>
      <c r="H122" s="861"/>
      <c r="J122" s="245"/>
    </row>
    <row r="123" spans="1:10" x14ac:dyDescent="0.25">
      <c r="B123" s="854"/>
      <c r="D123" s="858"/>
      <c r="F123" s="245"/>
      <c r="H123" s="861"/>
      <c r="I123" s="855" t="str">
        <f>IF(J123="","","# of Units with Substantial Rent Increases")</f>
        <v/>
      </c>
      <c r="J123" s="862" t="str">
        <f>IF(COUNT(J6:J119)=0,"",COUNT(J6:J119))</f>
        <v/>
      </c>
    </row>
    <row r="125" spans="1:10" x14ac:dyDescent="0.25">
      <c r="B125" s="863"/>
    </row>
    <row r="126" spans="1:10" s="248" customFormat="1" ht="24" customHeight="1" x14ac:dyDescent="0.25">
      <c r="A126" s="243"/>
      <c r="B126" s="243"/>
      <c r="C126" s="243"/>
      <c r="D126" s="243"/>
      <c r="E126" s="243"/>
      <c r="F126" s="243"/>
      <c r="G126" s="243"/>
      <c r="H126" s="243"/>
      <c r="J126" s="249"/>
    </row>
  </sheetData>
  <printOptions horizontalCentered="1" gridLinesSet="0"/>
  <pageMargins left="0.25" right="0.25" top="0.5" bottom="0.05" header="0.5" footer="0.5"/>
  <pageSetup scale="44"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2:S72"/>
  <sheetViews>
    <sheetView topLeftCell="C1" workbookViewId="0">
      <selection activeCell="R31" sqref="R31:S31"/>
    </sheetView>
  </sheetViews>
  <sheetFormatPr defaultColWidth="9.109375" defaultRowHeight="11.4" x14ac:dyDescent="0.2"/>
  <cols>
    <col min="1" max="1" width="10" style="1131" hidden="1" customWidth="1"/>
    <col min="2" max="2" width="5.109375" style="1131" hidden="1" customWidth="1"/>
    <col min="3" max="3" width="6.44140625" style="1131" customWidth="1"/>
    <col min="4" max="5" width="9.109375" style="1131"/>
    <col min="6" max="6" width="15.6640625" style="1131" customWidth="1"/>
    <col min="7" max="9" width="9.109375" style="1131"/>
    <col min="10" max="10" width="12.33203125" style="1131" customWidth="1"/>
    <col min="11" max="11" width="13.5546875" style="1131" customWidth="1"/>
    <col min="12" max="12" width="14" style="1131" customWidth="1"/>
    <col min="13" max="13" width="12.6640625" style="1131" customWidth="1"/>
    <col min="14" max="17" width="12.5546875" style="1131" customWidth="1"/>
    <col min="18" max="19" width="9.109375" style="1131" hidden="1" customWidth="1"/>
    <col min="20" max="16384" width="9.109375" style="1131"/>
  </cols>
  <sheetData>
    <row r="2" spans="4:16" ht="17.399999999999999" x14ac:dyDescent="0.3">
      <c r="D2" s="1607" t="s">
        <v>1126</v>
      </c>
      <c r="E2" s="1607"/>
      <c r="F2" s="1607"/>
      <c r="G2" s="1607"/>
      <c r="H2" s="1607"/>
      <c r="I2" s="1607"/>
      <c r="J2" s="1607"/>
      <c r="K2" s="1607"/>
      <c r="L2" s="1607"/>
      <c r="M2" s="1607"/>
      <c r="N2" s="1607"/>
      <c r="O2" s="1607"/>
      <c r="P2" s="1607"/>
    </row>
    <row r="3" spans="4:16" ht="17.399999999999999" x14ac:dyDescent="0.3">
      <c r="D3" s="1369"/>
      <c r="E3" s="1369"/>
      <c r="F3" s="1369"/>
      <c r="G3" s="1369"/>
      <c r="H3" s="1369"/>
      <c r="I3" s="1369"/>
      <c r="J3" s="1369"/>
      <c r="K3" s="1369"/>
      <c r="L3" s="1369"/>
      <c r="M3" s="1369"/>
      <c r="N3" s="1369"/>
      <c r="O3" s="1369"/>
      <c r="P3" s="1369"/>
    </row>
    <row r="4" spans="4:16" ht="17.399999999999999" x14ac:dyDescent="0.3">
      <c r="D4" s="1370" t="s">
        <v>1803</v>
      </c>
      <c r="E4" s="1369"/>
      <c r="F4" s="1369"/>
      <c r="G4" s="1369"/>
      <c r="H4" s="1369"/>
      <c r="I4" s="1369"/>
      <c r="J4" s="1369"/>
      <c r="K4" s="1369"/>
      <c r="L4" s="1369"/>
      <c r="M4" s="1369"/>
      <c r="N4" s="1369"/>
      <c r="O4" s="1369"/>
      <c r="P4" s="1369"/>
    </row>
    <row r="6" spans="4:16" ht="15.6" x14ac:dyDescent="0.3">
      <c r="J6" s="1611" t="s">
        <v>1138</v>
      </c>
      <c r="K6" s="1612"/>
      <c r="L6" s="1612"/>
      <c r="M6" s="1612"/>
      <c r="N6" s="1612"/>
      <c r="O6" s="1612"/>
      <c r="P6" s="1613"/>
    </row>
    <row r="7" spans="4:16" ht="15.6" x14ac:dyDescent="0.3">
      <c r="D7" s="1614" t="s">
        <v>1127</v>
      </c>
      <c r="E7" s="1615"/>
      <c r="F7" s="1617" t="s">
        <v>1128</v>
      </c>
      <c r="G7" s="1617"/>
      <c r="H7" s="1617" t="s">
        <v>310</v>
      </c>
      <c r="I7" s="1617"/>
      <c r="J7" s="1169">
        <v>0</v>
      </c>
      <c r="K7" s="1169">
        <v>1</v>
      </c>
      <c r="L7" s="1169">
        <v>2</v>
      </c>
      <c r="M7" s="1169">
        <v>3</v>
      </c>
      <c r="N7" s="1169">
        <v>4</v>
      </c>
      <c r="O7" s="1169">
        <v>5</v>
      </c>
      <c r="P7" s="1169">
        <v>6</v>
      </c>
    </row>
    <row r="8" spans="4:16" ht="15.6" x14ac:dyDescent="0.3">
      <c r="D8" s="1609" t="s">
        <v>84</v>
      </c>
      <c r="E8" s="1610"/>
      <c r="F8" s="1616"/>
      <c r="G8" s="1616"/>
      <c r="H8" s="1616"/>
      <c r="I8" s="1616"/>
      <c r="J8" s="1162"/>
      <c r="K8" s="1162"/>
      <c r="L8" s="1162"/>
      <c r="M8" s="1162"/>
      <c r="N8" s="1162"/>
      <c r="O8" s="1162"/>
      <c r="P8" s="1162"/>
    </row>
    <row r="9" spans="4:16" ht="15.6" x14ac:dyDescent="0.3">
      <c r="D9" s="1609" t="s">
        <v>85</v>
      </c>
      <c r="E9" s="1610"/>
      <c r="F9" s="1616"/>
      <c r="G9" s="1616"/>
      <c r="H9" s="1616"/>
      <c r="I9" s="1616"/>
      <c r="J9" s="1162"/>
      <c r="K9" s="1162"/>
      <c r="L9" s="1162"/>
      <c r="M9" s="1162"/>
      <c r="N9" s="1162"/>
      <c r="O9" s="1162"/>
      <c r="P9" s="1162"/>
    </row>
    <row r="10" spans="4:16" ht="15.6" x14ac:dyDescent="0.3">
      <c r="D10" s="1609" t="s">
        <v>86</v>
      </c>
      <c r="E10" s="1610"/>
      <c r="F10" s="1616"/>
      <c r="G10" s="1616"/>
      <c r="H10" s="1616"/>
      <c r="I10" s="1616"/>
      <c r="J10" s="1162"/>
      <c r="K10" s="1162"/>
      <c r="L10" s="1162"/>
      <c r="M10" s="1162"/>
      <c r="N10" s="1162"/>
      <c r="O10" s="1162"/>
      <c r="P10" s="1162"/>
    </row>
    <row r="11" spans="4:16" ht="15.6" x14ac:dyDescent="0.3">
      <c r="D11" s="1609" t="s">
        <v>87</v>
      </c>
      <c r="E11" s="1610"/>
      <c r="F11" s="1616"/>
      <c r="G11" s="1616"/>
      <c r="H11" s="1616"/>
      <c r="I11" s="1616"/>
      <c r="J11" s="1162"/>
      <c r="K11" s="1162"/>
      <c r="L11" s="1162"/>
      <c r="M11" s="1162"/>
      <c r="N11" s="1162"/>
      <c r="O11" s="1162"/>
      <c r="P11" s="1162"/>
    </row>
    <row r="12" spans="4:16" ht="15.6" x14ac:dyDescent="0.3">
      <c r="D12" s="1609" t="s">
        <v>88</v>
      </c>
      <c r="E12" s="1610"/>
      <c r="F12" s="1616"/>
      <c r="G12" s="1616"/>
      <c r="H12" s="1616"/>
      <c r="I12" s="1616"/>
      <c r="J12" s="1162"/>
      <c r="K12" s="1162"/>
      <c r="L12" s="1162"/>
      <c r="M12" s="1162"/>
      <c r="N12" s="1162"/>
      <c r="O12" s="1162"/>
      <c r="P12" s="1162"/>
    </row>
    <row r="13" spans="4:16" ht="15.6" x14ac:dyDescent="0.3">
      <c r="D13" s="1609" t="s">
        <v>89</v>
      </c>
      <c r="E13" s="1610"/>
      <c r="F13" s="1616"/>
      <c r="G13" s="1616"/>
      <c r="H13" s="1616"/>
      <c r="I13" s="1616"/>
      <c r="J13" s="1162"/>
      <c r="K13" s="1162"/>
      <c r="L13" s="1162"/>
      <c r="M13" s="1162"/>
      <c r="N13" s="1162"/>
      <c r="O13" s="1162"/>
      <c r="P13" s="1162"/>
    </row>
    <row r="14" spans="4:16" ht="15.6" x14ac:dyDescent="0.3">
      <c r="D14" s="1609" t="s">
        <v>90</v>
      </c>
      <c r="E14" s="1610"/>
      <c r="F14" s="1616"/>
      <c r="G14" s="1616"/>
      <c r="H14" s="1616"/>
      <c r="I14" s="1616"/>
      <c r="J14" s="1162"/>
      <c r="K14" s="1162"/>
      <c r="L14" s="1162"/>
      <c r="M14" s="1162"/>
      <c r="N14" s="1162"/>
      <c r="O14" s="1162"/>
      <c r="P14" s="1162"/>
    </row>
    <row r="15" spans="4:16" ht="15.6" x14ac:dyDescent="0.3">
      <c r="D15" s="1609" t="s">
        <v>1129</v>
      </c>
      <c r="E15" s="1610"/>
      <c r="F15" s="1616"/>
      <c r="G15" s="1616"/>
      <c r="H15" s="1616"/>
      <c r="I15" s="1616"/>
      <c r="J15" s="1162"/>
      <c r="K15" s="1162"/>
      <c r="L15" s="1162"/>
      <c r="M15" s="1162"/>
      <c r="N15" s="1162"/>
      <c r="O15" s="1162"/>
      <c r="P15" s="1162"/>
    </row>
    <row r="16" spans="4:16" ht="12.6" thickBot="1" x14ac:dyDescent="0.3">
      <c r="H16" s="1608" t="s">
        <v>278</v>
      </c>
      <c r="I16" s="1608"/>
      <c r="J16" s="1170">
        <f t="shared" ref="J16:P16" si="0">SUMIFS(J8:J15,$F$8:$F$15,"Tenant")</f>
        <v>0</v>
      </c>
      <c r="K16" s="1170">
        <f t="shared" si="0"/>
        <v>0</v>
      </c>
      <c r="L16" s="1170">
        <f t="shared" si="0"/>
        <v>0</v>
      </c>
      <c r="M16" s="1170">
        <f t="shared" si="0"/>
        <v>0</v>
      </c>
      <c r="N16" s="1170">
        <f t="shared" si="0"/>
        <v>0</v>
      </c>
      <c r="O16" s="1170">
        <f t="shared" si="0"/>
        <v>0</v>
      </c>
      <c r="P16" s="1170">
        <f t="shared" si="0"/>
        <v>0</v>
      </c>
    </row>
    <row r="17" spans="5:19" ht="12" thickTop="1" x14ac:dyDescent="0.2"/>
    <row r="19" spans="5:19" ht="15.6" x14ac:dyDescent="0.3">
      <c r="F19" s="1617" t="s">
        <v>1130</v>
      </c>
      <c r="G19" s="1617"/>
      <c r="H19" s="1617"/>
      <c r="I19" s="1617"/>
      <c r="J19" s="1617"/>
      <c r="K19" s="1617"/>
      <c r="L19" s="1617"/>
      <c r="N19" s="1628" t="s">
        <v>1139</v>
      </c>
      <c r="O19" s="1629"/>
      <c r="P19" s="1630"/>
    </row>
    <row r="20" spans="5:19" ht="15.6" x14ac:dyDescent="0.3">
      <c r="F20" s="1160"/>
      <c r="G20" s="1626" t="s">
        <v>994</v>
      </c>
      <c r="H20" s="1626"/>
      <c r="I20" s="1626"/>
      <c r="J20" s="1626"/>
      <c r="K20" s="1626"/>
      <c r="L20" s="1626"/>
      <c r="N20" s="1177" t="s">
        <v>1140</v>
      </c>
      <c r="O20" s="1178"/>
      <c r="P20" s="1179"/>
    </row>
    <row r="21" spans="5:19" ht="15.6" x14ac:dyDescent="0.3">
      <c r="F21" s="1160"/>
      <c r="G21" s="1626" t="s">
        <v>1131</v>
      </c>
      <c r="H21" s="1626"/>
      <c r="I21" s="1626"/>
      <c r="J21" s="1626"/>
      <c r="K21" s="1626"/>
      <c r="L21" s="1626"/>
      <c r="N21" s="1177" t="s">
        <v>1141</v>
      </c>
      <c r="O21" s="1178"/>
      <c r="P21" s="1179"/>
    </row>
    <row r="22" spans="5:19" ht="15.6" x14ac:dyDescent="0.3">
      <c r="F22" s="1160"/>
      <c r="G22" s="1626" t="s">
        <v>1132</v>
      </c>
      <c r="H22" s="1626"/>
      <c r="I22" s="1626"/>
      <c r="J22" s="1626"/>
      <c r="K22" s="1626"/>
      <c r="L22" s="1626"/>
      <c r="N22" s="1174"/>
      <c r="O22" s="1175"/>
      <c r="P22" s="1176"/>
    </row>
    <row r="23" spans="5:19" ht="15.6" x14ac:dyDescent="0.3">
      <c r="F23" s="1160"/>
      <c r="G23" s="1626" t="s">
        <v>1133</v>
      </c>
      <c r="H23" s="1626"/>
      <c r="I23" s="1626"/>
      <c r="J23" s="1626"/>
      <c r="K23" s="1626"/>
      <c r="L23" s="1626"/>
    </row>
    <row r="24" spans="5:19" ht="15.6" x14ac:dyDescent="0.3">
      <c r="F24" s="1160"/>
      <c r="G24" s="1626" t="s">
        <v>1134</v>
      </c>
      <c r="H24" s="1626"/>
      <c r="I24" s="1626"/>
      <c r="J24" s="1626"/>
      <c r="K24" s="1626"/>
      <c r="L24" s="1626"/>
    </row>
    <row r="25" spans="5:19" ht="15.6" x14ac:dyDescent="0.3">
      <c r="F25" s="1160"/>
      <c r="G25" s="1164" t="s">
        <v>1135</v>
      </c>
      <c r="H25" s="1627"/>
      <c r="I25" s="1627"/>
      <c r="J25" s="1627"/>
      <c r="K25" s="1627"/>
      <c r="L25" s="1627"/>
    </row>
    <row r="26" spans="5:19" ht="15.6" x14ac:dyDescent="0.3">
      <c r="F26" s="1171"/>
      <c r="G26" s="1172"/>
      <c r="H26" s="1172"/>
      <c r="I26" s="1172"/>
      <c r="J26" s="1172"/>
      <c r="K26" s="1172"/>
      <c r="L26" s="1173"/>
    </row>
    <row r="27" spans="5:19" ht="15.6" x14ac:dyDescent="0.3">
      <c r="F27" s="1621" t="s">
        <v>1136</v>
      </c>
      <c r="G27" s="1622"/>
      <c r="H27" s="1623">
        <f>'Project Information'!E90</f>
        <v>0</v>
      </c>
      <c r="I27" s="1624"/>
      <c r="J27" s="1624"/>
      <c r="K27" s="1624"/>
      <c r="L27" s="1625"/>
    </row>
    <row r="30" spans="5:19" ht="17.399999999999999" x14ac:dyDescent="0.3">
      <c r="E30" s="1607" t="s">
        <v>1125</v>
      </c>
      <c r="F30" s="1607"/>
      <c r="G30" s="1607"/>
      <c r="H30" s="1607"/>
      <c r="I30" s="1607"/>
      <c r="J30" s="1607"/>
      <c r="K30" s="1607"/>
      <c r="L30" s="1607"/>
      <c r="M30" s="1607"/>
      <c r="N30" s="1607"/>
    </row>
    <row r="32" spans="5:19" ht="34.200000000000003" x14ac:dyDescent="0.2">
      <c r="E32" s="1132" t="s">
        <v>1117</v>
      </c>
      <c r="F32" s="1132" t="s">
        <v>309</v>
      </c>
      <c r="G32" s="1132" t="s">
        <v>531</v>
      </c>
      <c r="H32" s="1132" t="s">
        <v>576</v>
      </c>
      <c r="I32" s="1132" t="s">
        <v>1118</v>
      </c>
      <c r="J32" s="1132" t="s">
        <v>1119</v>
      </c>
      <c r="K32" s="1132" t="s">
        <v>1120</v>
      </c>
      <c r="L32" s="1132" t="s">
        <v>311</v>
      </c>
      <c r="M32" s="1132" t="s">
        <v>1121</v>
      </c>
      <c r="N32" s="1132" t="s">
        <v>277</v>
      </c>
      <c r="R32" s="1158" t="s">
        <v>1137</v>
      </c>
      <c r="S32" s="1158" t="s">
        <v>1684</v>
      </c>
    </row>
    <row r="33" spans="1:19" ht="15.6" x14ac:dyDescent="0.3">
      <c r="A33" s="1163">
        <f t="shared" ref="A33:A55" si="1">IF(OR(E33="",F33="",K33=""),100000,(E33*1000)+(IF(F33="MKT",0.9,_xlfn.NUMBERVALUE(LEFT(F33,3)))*1000)+IF(RIGHT(F33,2)="LH",100,IF(RIGHT(F33,2)="HH",101,0))+_xlfn.RANK.EQ(K33,$K$33:$K$56,1))</f>
        <v>100000</v>
      </c>
      <c r="B33" s="1131" t="str">
        <f>IF(OR(E33="",F33="",K33=""),"",_xlfn.RANK.EQ(A33,$A$33:$A$55,0))</f>
        <v/>
      </c>
      <c r="C33" s="1342" t="str">
        <f>IF(B33="","",ROUND(SUMPRODUCT((B33&lt;=$B$33:$B$55)/COUNTIF($B$33:$B$55,$B$33:$B$55))-1,))</f>
        <v/>
      </c>
      <c r="E33" s="1338"/>
      <c r="F33" s="1249"/>
      <c r="G33" s="1338"/>
      <c r="H33" s="1161"/>
      <c r="I33" s="1459">
        <f>IF(E33="",0,IF(F33="Mkt",0,HLOOKUP(E33,$J$7:$P$16,10,FALSE)))</f>
        <v>0</v>
      </c>
      <c r="J33" s="1133">
        <f>H33-I33</f>
        <v>0</v>
      </c>
      <c r="K33" s="1161"/>
      <c r="L33" s="1133">
        <f>IF(F33="Mkt",IF(M33="",K33*G33,MIN(K33,M33)*G33),IF(M33="",MIN(J33:K33)*G33,MIN(J33:K33,M33)*G33))</f>
        <v>0</v>
      </c>
      <c r="M33" s="1161"/>
      <c r="N33" s="1133">
        <f>L33*12</f>
        <v>0</v>
      </c>
      <c r="R33" s="1131">
        <f>IF(F33="Mkt",G33*K33*12,IF(OR(H33="",H33&lt;1),0,ROUND(((H33/LEFT(F33,3)/0.3)*12)*((0.6/12)*0.3),)*G33*12))</f>
        <v>0</v>
      </c>
      <c r="S33" s="1131" t="str">
        <f>IF(R33&gt;0,R33/12/G33,"")</f>
        <v/>
      </c>
    </row>
    <row r="34" spans="1:19" ht="15.6" x14ac:dyDescent="0.3">
      <c r="A34" s="1163">
        <f t="shared" si="1"/>
        <v>100000</v>
      </c>
      <c r="B34" s="1131" t="str">
        <f t="shared" ref="B34:B55" si="2">IF(OR(E34="",F34="",K34=""),"",_xlfn.RANK.EQ(A34,$A$33:$A$55,0))</f>
        <v/>
      </c>
      <c r="C34" s="1342" t="str">
        <f t="shared" ref="C34:C55" si="3">IF(B34="","",ROUND(SUMPRODUCT((B34&lt;=$B$33:$B$55)/COUNTIF($B$33:$B$55,$B$33:$B$55))-1,))</f>
        <v/>
      </c>
      <c r="E34" s="1338"/>
      <c r="F34" s="1249"/>
      <c r="G34" s="1338"/>
      <c r="H34" s="1161"/>
      <c r="I34" s="1459">
        <f>IF(E34="",0,IF(F34="Mkt",0,HLOOKUP(E34,$J$7:$P$16,10,FALSE)))</f>
        <v>0</v>
      </c>
      <c r="J34" s="1133">
        <f t="shared" ref="J34:J52" si="4">H34-I34</f>
        <v>0</v>
      </c>
      <c r="K34" s="1161"/>
      <c r="L34" s="1133">
        <f t="shared" ref="L34:L55" si="5">IF(F34="Mkt",IF(M34="",K34*G34,MIN(K34,M34)*G34),IF(M34="",MIN(J34:K34)*G34,MIN(J34:K34,M34)*G34))</f>
        <v>0</v>
      </c>
      <c r="M34" s="1161"/>
      <c r="N34" s="1133">
        <f t="shared" ref="N34:N52" si="6">L34*12</f>
        <v>0</v>
      </c>
      <c r="R34" s="1131">
        <f t="shared" ref="R34:R55" si="7">IF(F34="Mkt",G34*K34*12,IF(OR(H34="",H34&lt;1),0,ROUND(((H34/LEFT(F34,3)/0.3)*12)*((0.6/12)*0.3),)*G34*12))</f>
        <v>0</v>
      </c>
      <c r="S34" s="1131" t="str">
        <f t="shared" ref="S34:S55" si="8">IF(R34&gt;0,R34/12/G34,"")</f>
        <v/>
      </c>
    </row>
    <row r="35" spans="1:19" ht="15.6" x14ac:dyDescent="0.3">
      <c r="A35" s="1163">
        <f t="shared" si="1"/>
        <v>100000</v>
      </c>
      <c r="B35" s="1131" t="str">
        <f t="shared" si="2"/>
        <v/>
      </c>
      <c r="C35" s="1342" t="str">
        <f t="shared" si="3"/>
        <v/>
      </c>
      <c r="E35" s="1338"/>
      <c r="F35" s="1249"/>
      <c r="G35" s="1338"/>
      <c r="H35" s="1161"/>
      <c r="I35" s="1459">
        <f t="shared" ref="I35:I55" si="9">IF(E35="",0,IF(F35="Mkt",0,HLOOKUP(E35,$J$7:$P$16,10,FALSE)))</f>
        <v>0</v>
      </c>
      <c r="J35" s="1133">
        <f t="shared" si="4"/>
        <v>0</v>
      </c>
      <c r="K35" s="1161"/>
      <c r="L35" s="1133">
        <f t="shared" si="5"/>
        <v>0</v>
      </c>
      <c r="M35" s="1161"/>
      <c r="N35" s="1133">
        <f t="shared" si="6"/>
        <v>0</v>
      </c>
      <c r="R35" s="1131">
        <f t="shared" si="7"/>
        <v>0</v>
      </c>
      <c r="S35" s="1131" t="str">
        <f t="shared" si="8"/>
        <v/>
      </c>
    </row>
    <row r="36" spans="1:19" ht="15.6" x14ac:dyDescent="0.3">
      <c r="A36" s="1163">
        <f t="shared" si="1"/>
        <v>100000</v>
      </c>
      <c r="B36" s="1131" t="str">
        <f t="shared" si="2"/>
        <v/>
      </c>
      <c r="C36" s="1342" t="str">
        <f t="shared" si="3"/>
        <v/>
      </c>
      <c r="E36" s="1338"/>
      <c r="F36" s="1249"/>
      <c r="G36" s="1338"/>
      <c r="H36" s="1161"/>
      <c r="I36" s="1459">
        <f t="shared" si="9"/>
        <v>0</v>
      </c>
      <c r="J36" s="1133">
        <f t="shared" si="4"/>
        <v>0</v>
      </c>
      <c r="K36" s="1161"/>
      <c r="L36" s="1133">
        <f t="shared" si="5"/>
        <v>0</v>
      </c>
      <c r="M36" s="1161"/>
      <c r="N36" s="1133">
        <f t="shared" si="6"/>
        <v>0</v>
      </c>
      <c r="R36" s="1131">
        <f t="shared" si="7"/>
        <v>0</v>
      </c>
      <c r="S36" s="1131" t="str">
        <f t="shared" si="8"/>
        <v/>
      </c>
    </row>
    <row r="37" spans="1:19" ht="15.6" x14ac:dyDescent="0.3">
      <c r="A37" s="1163">
        <f t="shared" si="1"/>
        <v>100000</v>
      </c>
      <c r="B37" s="1131" t="str">
        <f t="shared" si="2"/>
        <v/>
      </c>
      <c r="C37" s="1342" t="str">
        <f t="shared" si="3"/>
        <v/>
      </c>
      <c r="E37" s="1338"/>
      <c r="F37" s="1249"/>
      <c r="G37" s="1338"/>
      <c r="H37" s="1161"/>
      <c r="I37" s="1459">
        <f t="shared" si="9"/>
        <v>0</v>
      </c>
      <c r="J37" s="1133">
        <f t="shared" si="4"/>
        <v>0</v>
      </c>
      <c r="K37" s="1161"/>
      <c r="L37" s="1133">
        <f t="shared" si="5"/>
        <v>0</v>
      </c>
      <c r="M37" s="1161"/>
      <c r="N37" s="1133">
        <f t="shared" si="6"/>
        <v>0</v>
      </c>
      <c r="R37" s="1131">
        <f t="shared" si="7"/>
        <v>0</v>
      </c>
      <c r="S37" s="1131" t="str">
        <f t="shared" si="8"/>
        <v/>
      </c>
    </row>
    <row r="38" spans="1:19" ht="15.6" x14ac:dyDescent="0.3">
      <c r="A38" s="1163">
        <f t="shared" si="1"/>
        <v>100000</v>
      </c>
      <c r="B38" s="1131" t="str">
        <f t="shared" si="2"/>
        <v/>
      </c>
      <c r="C38" s="1342" t="str">
        <f t="shared" si="3"/>
        <v/>
      </c>
      <c r="E38" s="1338"/>
      <c r="F38" s="1249"/>
      <c r="G38" s="1338"/>
      <c r="H38" s="1161"/>
      <c r="I38" s="1459">
        <f t="shared" si="9"/>
        <v>0</v>
      </c>
      <c r="J38" s="1133">
        <f t="shared" si="4"/>
        <v>0</v>
      </c>
      <c r="K38" s="1161"/>
      <c r="L38" s="1133">
        <f t="shared" si="5"/>
        <v>0</v>
      </c>
      <c r="M38" s="1161"/>
      <c r="N38" s="1133">
        <f t="shared" si="6"/>
        <v>0</v>
      </c>
      <c r="R38" s="1131">
        <f t="shared" si="7"/>
        <v>0</v>
      </c>
      <c r="S38" s="1131" t="str">
        <f t="shared" si="8"/>
        <v/>
      </c>
    </row>
    <row r="39" spans="1:19" ht="15.6" x14ac:dyDescent="0.3">
      <c r="A39" s="1163">
        <f t="shared" si="1"/>
        <v>100000</v>
      </c>
      <c r="B39" s="1131" t="str">
        <f t="shared" si="2"/>
        <v/>
      </c>
      <c r="C39" s="1342" t="str">
        <f t="shared" si="3"/>
        <v/>
      </c>
      <c r="E39" s="1338"/>
      <c r="F39" s="1249"/>
      <c r="G39" s="1338"/>
      <c r="H39" s="1161"/>
      <c r="I39" s="1459">
        <f t="shared" si="9"/>
        <v>0</v>
      </c>
      <c r="J39" s="1133">
        <f t="shared" si="4"/>
        <v>0</v>
      </c>
      <c r="K39" s="1161"/>
      <c r="L39" s="1133">
        <f t="shared" si="5"/>
        <v>0</v>
      </c>
      <c r="M39" s="1161"/>
      <c r="N39" s="1133">
        <f t="shared" si="6"/>
        <v>0</v>
      </c>
      <c r="R39" s="1131">
        <f t="shared" si="7"/>
        <v>0</v>
      </c>
      <c r="S39" s="1131" t="str">
        <f t="shared" si="8"/>
        <v/>
      </c>
    </row>
    <row r="40" spans="1:19" ht="15.6" x14ac:dyDescent="0.3">
      <c r="A40" s="1163">
        <f t="shared" si="1"/>
        <v>100000</v>
      </c>
      <c r="B40" s="1131" t="str">
        <f t="shared" si="2"/>
        <v/>
      </c>
      <c r="C40" s="1342" t="str">
        <f t="shared" si="3"/>
        <v/>
      </c>
      <c r="E40" s="1338"/>
      <c r="F40" s="1249"/>
      <c r="G40" s="1338"/>
      <c r="H40" s="1161"/>
      <c r="I40" s="1459">
        <f t="shared" si="9"/>
        <v>0</v>
      </c>
      <c r="J40" s="1133">
        <f t="shared" si="4"/>
        <v>0</v>
      </c>
      <c r="K40" s="1161"/>
      <c r="L40" s="1133">
        <f t="shared" si="5"/>
        <v>0</v>
      </c>
      <c r="M40" s="1161"/>
      <c r="N40" s="1133">
        <f t="shared" si="6"/>
        <v>0</v>
      </c>
      <c r="R40" s="1131">
        <f t="shared" si="7"/>
        <v>0</v>
      </c>
      <c r="S40" s="1131" t="str">
        <f t="shared" si="8"/>
        <v/>
      </c>
    </row>
    <row r="41" spans="1:19" ht="15.6" x14ac:dyDescent="0.3">
      <c r="A41" s="1163">
        <f t="shared" si="1"/>
        <v>100000</v>
      </c>
      <c r="B41" s="1131" t="str">
        <f t="shared" si="2"/>
        <v/>
      </c>
      <c r="C41" s="1342" t="str">
        <f t="shared" si="3"/>
        <v/>
      </c>
      <c r="E41" s="1338"/>
      <c r="F41" s="1249"/>
      <c r="G41" s="1338"/>
      <c r="H41" s="1161"/>
      <c r="I41" s="1459">
        <f t="shared" si="9"/>
        <v>0</v>
      </c>
      <c r="J41" s="1133">
        <f t="shared" si="4"/>
        <v>0</v>
      </c>
      <c r="K41" s="1161"/>
      <c r="L41" s="1133">
        <f t="shared" si="5"/>
        <v>0</v>
      </c>
      <c r="M41" s="1161"/>
      <c r="N41" s="1133">
        <f t="shared" si="6"/>
        <v>0</v>
      </c>
      <c r="R41" s="1131">
        <f t="shared" si="7"/>
        <v>0</v>
      </c>
      <c r="S41" s="1131" t="str">
        <f t="shared" si="8"/>
        <v/>
      </c>
    </row>
    <row r="42" spans="1:19" ht="15.6" x14ac:dyDescent="0.3">
      <c r="A42" s="1163">
        <f t="shared" si="1"/>
        <v>100000</v>
      </c>
      <c r="B42" s="1131" t="str">
        <f t="shared" si="2"/>
        <v/>
      </c>
      <c r="C42" s="1342" t="str">
        <f t="shared" si="3"/>
        <v/>
      </c>
      <c r="E42" s="1338"/>
      <c r="F42" s="1249"/>
      <c r="G42" s="1338"/>
      <c r="H42" s="1161"/>
      <c r="I42" s="1459">
        <f t="shared" si="9"/>
        <v>0</v>
      </c>
      <c r="J42" s="1133">
        <f t="shared" si="4"/>
        <v>0</v>
      </c>
      <c r="K42" s="1161"/>
      <c r="L42" s="1133">
        <f t="shared" si="5"/>
        <v>0</v>
      </c>
      <c r="M42" s="1161"/>
      <c r="N42" s="1133">
        <f t="shared" si="6"/>
        <v>0</v>
      </c>
      <c r="R42" s="1131">
        <f t="shared" si="7"/>
        <v>0</v>
      </c>
      <c r="S42" s="1131" t="str">
        <f t="shared" si="8"/>
        <v/>
      </c>
    </row>
    <row r="43" spans="1:19" ht="15.6" x14ac:dyDescent="0.3">
      <c r="A43" s="1163">
        <f t="shared" si="1"/>
        <v>100000</v>
      </c>
      <c r="B43" s="1131" t="str">
        <f t="shared" si="2"/>
        <v/>
      </c>
      <c r="C43" s="1342" t="str">
        <f t="shared" si="3"/>
        <v/>
      </c>
      <c r="E43" s="1338"/>
      <c r="F43" s="1249"/>
      <c r="G43" s="1338"/>
      <c r="H43" s="1161"/>
      <c r="I43" s="1459">
        <f t="shared" si="9"/>
        <v>0</v>
      </c>
      <c r="J43" s="1133">
        <f t="shared" si="4"/>
        <v>0</v>
      </c>
      <c r="K43" s="1161"/>
      <c r="L43" s="1133">
        <f t="shared" si="5"/>
        <v>0</v>
      </c>
      <c r="M43" s="1161"/>
      <c r="N43" s="1133">
        <f t="shared" si="6"/>
        <v>0</v>
      </c>
      <c r="R43" s="1131">
        <f t="shared" si="7"/>
        <v>0</v>
      </c>
      <c r="S43" s="1131" t="str">
        <f t="shared" si="8"/>
        <v/>
      </c>
    </row>
    <row r="44" spans="1:19" ht="15.6" x14ac:dyDescent="0.3">
      <c r="A44" s="1163">
        <f t="shared" si="1"/>
        <v>100000</v>
      </c>
      <c r="B44" s="1131" t="str">
        <f t="shared" si="2"/>
        <v/>
      </c>
      <c r="C44" s="1342" t="str">
        <f t="shared" si="3"/>
        <v/>
      </c>
      <c r="E44" s="1338"/>
      <c r="F44" s="1249"/>
      <c r="G44" s="1338"/>
      <c r="H44" s="1161"/>
      <c r="I44" s="1459">
        <f t="shared" si="9"/>
        <v>0</v>
      </c>
      <c r="J44" s="1133">
        <f t="shared" si="4"/>
        <v>0</v>
      </c>
      <c r="K44" s="1161"/>
      <c r="L44" s="1133">
        <f t="shared" si="5"/>
        <v>0</v>
      </c>
      <c r="M44" s="1161"/>
      <c r="N44" s="1133">
        <f t="shared" si="6"/>
        <v>0</v>
      </c>
      <c r="R44" s="1131">
        <f t="shared" si="7"/>
        <v>0</v>
      </c>
      <c r="S44" s="1131" t="str">
        <f t="shared" si="8"/>
        <v/>
      </c>
    </row>
    <row r="45" spans="1:19" ht="15.6" x14ac:dyDescent="0.3">
      <c r="A45" s="1163">
        <f t="shared" si="1"/>
        <v>100000</v>
      </c>
      <c r="B45" s="1131" t="str">
        <f t="shared" si="2"/>
        <v/>
      </c>
      <c r="C45" s="1342" t="str">
        <f t="shared" si="3"/>
        <v/>
      </c>
      <c r="E45" s="1338"/>
      <c r="F45" s="1249"/>
      <c r="G45" s="1338"/>
      <c r="H45" s="1161"/>
      <c r="I45" s="1459">
        <f t="shared" si="9"/>
        <v>0</v>
      </c>
      <c r="J45" s="1133">
        <f t="shared" si="4"/>
        <v>0</v>
      </c>
      <c r="K45" s="1161"/>
      <c r="L45" s="1133">
        <f t="shared" si="5"/>
        <v>0</v>
      </c>
      <c r="M45" s="1161"/>
      <c r="N45" s="1133">
        <f t="shared" si="6"/>
        <v>0</v>
      </c>
      <c r="R45" s="1131">
        <f t="shared" si="7"/>
        <v>0</v>
      </c>
      <c r="S45" s="1131" t="str">
        <f t="shared" si="8"/>
        <v/>
      </c>
    </row>
    <row r="46" spans="1:19" ht="15.6" x14ac:dyDescent="0.3">
      <c r="A46" s="1163">
        <f t="shared" si="1"/>
        <v>100000</v>
      </c>
      <c r="B46" s="1131" t="str">
        <f t="shared" si="2"/>
        <v/>
      </c>
      <c r="C46" s="1342" t="str">
        <f t="shared" si="3"/>
        <v/>
      </c>
      <c r="E46" s="1338"/>
      <c r="F46" s="1249"/>
      <c r="G46" s="1338"/>
      <c r="H46" s="1161"/>
      <c r="I46" s="1459">
        <f t="shared" si="9"/>
        <v>0</v>
      </c>
      <c r="J46" s="1133">
        <f t="shared" si="4"/>
        <v>0</v>
      </c>
      <c r="K46" s="1161"/>
      <c r="L46" s="1133">
        <f t="shared" si="5"/>
        <v>0</v>
      </c>
      <c r="M46" s="1161"/>
      <c r="N46" s="1133">
        <f t="shared" si="6"/>
        <v>0</v>
      </c>
      <c r="R46" s="1131">
        <f t="shared" si="7"/>
        <v>0</v>
      </c>
      <c r="S46" s="1131" t="str">
        <f t="shared" si="8"/>
        <v/>
      </c>
    </row>
    <row r="47" spans="1:19" ht="15.6" x14ac:dyDescent="0.3">
      <c r="A47" s="1163">
        <f t="shared" si="1"/>
        <v>100000</v>
      </c>
      <c r="B47" s="1131" t="str">
        <f t="shared" si="2"/>
        <v/>
      </c>
      <c r="C47" s="1342" t="str">
        <f t="shared" si="3"/>
        <v/>
      </c>
      <c r="E47" s="1338"/>
      <c r="F47" s="1249"/>
      <c r="G47" s="1338"/>
      <c r="H47" s="1161"/>
      <c r="I47" s="1459">
        <f t="shared" si="9"/>
        <v>0</v>
      </c>
      <c r="J47" s="1133">
        <f t="shared" si="4"/>
        <v>0</v>
      </c>
      <c r="K47" s="1161"/>
      <c r="L47" s="1133">
        <f t="shared" si="5"/>
        <v>0</v>
      </c>
      <c r="M47" s="1161"/>
      <c r="N47" s="1133">
        <f t="shared" si="6"/>
        <v>0</v>
      </c>
      <c r="R47" s="1131">
        <f t="shared" si="7"/>
        <v>0</v>
      </c>
      <c r="S47" s="1131" t="str">
        <f t="shared" si="8"/>
        <v/>
      </c>
    </row>
    <row r="48" spans="1:19" ht="15.6" x14ac:dyDescent="0.3">
      <c r="A48" s="1163">
        <f t="shared" si="1"/>
        <v>100000</v>
      </c>
      <c r="B48" s="1131" t="str">
        <f t="shared" si="2"/>
        <v/>
      </c>
      <c r="C48" s="1342" t="str">
        <f t="shared" si="3"/>
        <v/>
      </c>
      <c r="E48" s="1338"/>
      <c r="F48" s="1249"/>
      <c r="G48" s="1338"/>
      <c r="H48" s="1161"/>
      <c r="I48" s="1459">
        <f t="shared" si="9"/>
        <v>0</v>
      </c>
      <c r="J48" s="1133">
        <f t="shared" si="4"/>
        <v>0</v>
      </c>
      <c r="K48" s="1161"/>
      <c r="L48" s="1133">
        <f t="shared" si="5"/>
        <v>0</v>
      </c>
      <c r="M48" s="1161"/>
      <c r="N48" s="1133">
        <f t="shared" si="6"/>
        <v>0</v>
      </c>
      <c r="R48" s="1131">
        <f t="shared" si="7"/>
        <v>0</v>
      </c>
      <c r="S48" s="1131" t="str">
        <f t="shared" si="8"/>
        <v/>
      </c>
    </row>
    <row r="49" spans="1:19" ht="15.6" x14ac:dyDescent="0.3">
      <c r="A49" s="1163">
        <f t="shared" si="1"/>
        <v>100000</v>
      </c>
      <c r="B49" s="1131" t="str">
        <f t="shared" si="2"/>
        <v/>
      </c>
      <c r="C49" s="1342" t="str">
        <f t="shared" si="3"/>
        <v/>
      </c>
      <c r="E49" s="1338"/>
      <c r="F49" s="1249"/>
      <c r="G49" s="1338"/>
      <c r="H49" s="1161"/>
      <c r="I49" s="1459">
        <f t="shared" si="9"/>
        <v>0</v>
      </c>
      <c r="J49" s="1133">
        <f t="shared" si="4"/>
        <v>0</v>
      </c>
      <c r="K49" s="1161"/>
      <c r="L49" s="1133">
        <f t="shared" si="5"/>
        <v>0</v>
      </c>
      <c r="M49" s="1161"/>
      <c r="N49" s="1133">
        <f t="shared" si="6"/>
        <v>0</v>
      </c>
      <c r="R49" s="1131">
        <f t="shared" si="7"/>
        <v>0</v>
      </c>
      <c r="S49" s="1131" t="str">
        <f t="shared" si="8"/>
        <v/>
      </c>
    </row>
    <row r="50" spans="1:19" ht="15.6" x14ac:dyDescent="0.3">
      <c r="A50" s="1163">
        <f t="shared" si="1"/>
        <v>100000</v>
      </c>
      <c r="B50" s="1131" t="str">
        <f t="shared" si="2"/>
        <v/>
      </c>
      <c r="C50" s="1342" t="str">
        <f t="shared" si="3"/>
        <v/>
      </c>
      <c r="E50" s="1338"/>
      <c r="F50" s="1249"/>
      <c r="G50" s="1338"/>
      <c r="H50" s="1161"/>
      <c r="I50" s="1459">
        <f t="shared" si="9"/>
        <v>0</v>
      </c>
      <c r="J50" s="1133">
        <f t="shared" si="4"/>
        <v>0</v>
      </c>
      <c r="K50" s="1161"/>
      <c r="L50" s="1133">
        <f t="shared" si="5"/>
        <v>0</v>
      </c>
      <c r="M50" s="1161"/>
      <c r="N50" s="1133">
        <f t="shared" si="6"/>
        <v>0</v>
      </c>
      <c r="R50" s="1131">
        <f t="shared" si="7"/>
        <v>0</v>
      </c>
      <c r="S50" s="1131" t="str">
        <f t="shared" si="8"/>
        <v/>
      </c>
    </row>
    <row r="51" spans="1:19" ht="15.6" x14ac:dyDescent="0.3">
      <c r="A51" s="1163">
        <f t="shared" si="1"/>
        <v>100000</v>
      </c>
      <c r="B51" s="1131" t="str">
        <f t="shared" si="2"/>
        <v/>
      </c>
      <c r="C51" s="1342" t="str">
        <f t="shared" si="3"/>
        <v/>
      </c>
      <c r="E51" s="1338"/>
      <c r="F51" s="1249"/>
      <c r="G51" s="1338"/>
      <c r="H51" s="1161"/>
      <c r="I51" s="1459">
        <f t="shared" si="9"/>
        <v>0</v>
      </c>
      <c r="J51" s="1133">
        <f t="shared" si="4"/>
        <v>0</v>
      </c>
      <c r="K51" s="1161"/>
      <c r="L51" s="1133">
        <f t="shared" si="5"/>
        <v>0</v>
      </c>
      <c r="M51" s="1161"/>
      <c r="N51" s="1133">
        <f t="shared" si="6"/>
        <v>0</v>
      </c>
      <c r="R51" s="1131">
        <f t="shared" si="7"/>
        <v>0</v>
      </c>
      <c r="S51" s="1131" t="str">
        <f t="shared" si="8"/>
        <v/>
      </c>
    </row>
    <row r="52" spans="1:19" ht="15.6" x14ac:dyDescent="0.3">
      <c r="A52" s="1163">
        <f t="shared" si="1"/>
        <v>100000</v>
      </c>
      <c r="B52" s="1131" t="str">
        <f t="shared" si="2"/>
        <v/>
      </c>
      <c r="C52" s="1342" t="str">
        <f t="shared" si="3"/>
        <v/>
      </c>
      <c r="E52" s="1338"/>
      <c r="F52" s="1249"/>
      <c r="G52" s="1338"/>
      <c r="H52" s="1161"/>
      <c r="I52" s="1459">
        <f t="shared" si="9"/>
        <v>0</v>
      </c>
      <c r="J52" s="1133">
        <f t="shared" si="4"/>
        <v>0</v>
      </c>
      <c r="K52" s="1161"/>
      <c r="L52" s="1133">
        <f t="shared" si="5"/>
        <v>0</v>
      </c>
      <c r="M52" s="1161"/>
      <c r="N52" s="1133">
        <f t="shared" si="6"/>
        <v>0</v>
      </c>
      <c r="R52" s="1131">
        <f t="shared" si="7"/>
        <v>0</v>
      </c>
      <c r="S52" s="1131" t="str">
        <f t="shared" si="8"/>
        <v/>
      </c>
    </row>
    <row r="53" spans="1:19" ht="15.6" x14ac:dyDescent="0.3">
      <c r="A53" s="1163">
        <f t="shared" si="1"/>
        <v>100000</v>
      </c>
      <c r="B53" s="1131" t="str">
        <f t="shared" si="2"/>
        <v/>
      </c>
      <c r="C53" s="1342" t="str">
        <f t="shared" si="3"/>
        <v/>
      </c>
      <c r="E53" s="1338"/>
      <c r="F53" s="1249"/>
      <c r="G53" s="1338"/>
      <c r="H53" s="1161"/>
      <c r="I53" s="1459">
        <f t="shared" si="9"/>
        <v>0</v>
      </c>
      <c r="J53" s="1133">
        <f>H53-I53</f>
        <v>0</v>
      </c>
      <c r="K53" s="1161"/>
      <c r="L53" s="1133">
        <f t="shared" si="5"/>
        <v>0</v>
      </c>
      <c r="M53" s="1161"/>
      <c r="N53" s="1133">
        <f>L53*12</f>
        <v>0</v>
      </c>
      <c r="R53" s="1131">
        <f t="shared" si="7"/>
        <v>0</v>
      </c>
      <c r="S53" s="1131" t="str">
        <f t="shared" si="8"/>
        <v/>
      </c>
    </row>
    <row r="54" spans="1:19" ht="15.6" x14ac:dyDescent="0.3">
      <c r="A54" s="1163">
        <f t="shared" si="1"/>
        <v>100000</v>
      </c>
      <c r="B54" s="1131" t="str">
        <f t="shared" si="2"/>
        <v/>
      </c>
      <c r="C54" s="1342" t="str">
        <f t="shared" si="3"/>
        <v/>
      </c>
      <c r="E54" s="1338"/>
      <c r="F54" s="1249"/>
      <c r="G54" s="1338"/>
      <c r="H54" s="1161"/>
      <c r="I54" s="1459">
        <f t="shared" si="9"/>
        <v>0</v>
      </c>
      <c r="J54" s="1133">
        <f>H54-I54</f>
        <v>0</v>
      </c>
      <c r="K54" s="1161"/>
      <c r="L54" s="1133">
        <f t="shared" si="5"/>
        <v>0</v>
      </c>
      <c r="M54" s="1161"/>
      <c r="N54" s="1133">
        <f>L54*12</f>
        <v>0</v>
      </c>
      <c r="R54" s="1131">
        <f t="shared" si="7"/>
        <v>0</v>
      </c>
      <c r="S54" s="1131" t="str">
        <f t="shared" si="8"/>
        <v/>
      </c>
    </row>
    <row r="55" spans="1:19" ht="15.6" x14ac:dyDescent="0.3">
      <c r="A55" s="1163">
        <f t="shared" si="1"/>
        <v>100000</v>
      </c>
      <c r="B55" s="1131" t="str">
        <f t="shared" si="2"/>
        <v/>
      </c>
      <c r="C55" s="1342" t="str">
        <f t="shared" si="3"/>
        <v/>
      </c>
      <c r="E55" s="1338"/>
      <c r="F55" s="1249"/>
      <c r="G55" s="1338"/>
      <c r="H55" s="1161"/>
      <c r="I55" s="1459">
        <f t="shared" si="9"/>
        <v>0</v>
      </c>
      <c r="J55" s="1133">
        <f>H55-I55</f>
        <v>0</v>
      </c>
      <c r="K55" s="1161"/>
      <c r="L55" s="1133">
        <f t="shared" si="5"/>
        <v>0</v>
      </c>
      <c r="M55" s="1161"/>
      <c r="N55" s="1133">
        <f>L55*12</f>
        <v>0</v>
      </c>
      <c r="R55" s="1131">
        <f t="shared" si="7"/>
        <v>0</v>
      </c>
      <c r="S55" s="1131" t="str">
        <f t="shared" si="8"/>
        <v/>
      </c>
    </row>
    <row r="57" spans="1:19" ht="12" x14ac:dyDescent="0.25">
      <c r="E57" s="1131" t="s">
        <v>641</v>
      </c>
      <c r="G57" s="1134">
        <f>SUM(G33:G55)</f>
        <v>0</v>
      </c>
      <c r="J57" s="1136" t="s">
        <v>92</v>
      </c>
      <c r="L57" s="1135">
        <f>SUM(L33:L55)</f>
        <v>0</v>
      </c>
      <c r="N57" s="1135">
        <f>SUM(N33:N55)</f>
        <v>0</v>
      </c>
    </row>
    <row r="58" spans="1:19" ht="12" x14ac:dyDescent="0.25">
      <c r="E58" s="1263" t="str">
        <f>IF($G$57&lt;&gt;SUM('Project Information'!D28,'Project Information'!I28),"WARNING: TOTAL UNITS DOES NOT MATCH PROJECT INFORMATION TAB","")</f>
        <v/>
      </c>
    </row>
    <row r="60" spans="1:19" x14ac:dyDescent="0.2">
      <c r="E60" s="1131" t="s">
        <v>1122</v>
      </c>
      <c r="L60" s="1187"/>
      <c r="N60" s="1135">
        <f>L60*12</f>
        <v>0</v>
      </c>
    </row>
    <row r="61" spans="1:19" x14ac:dyDescent="0.2">
      <c r="E61" s="1131" t="s">
        <v>45</v>
      </c>
      <c r="G61" s="1618" t="s">
        <v>682</v>
      </c>
      <c r="H61" s="1619"/>
      <c r="I61" s="1619"/>
      <c r="J61" s="1620"/>
      <c r="L61" s="1187"/>
      <c r="N61" s="1135">
        <f>L61*12</f>
        <v>0</v>
      </c>
    </row>
    <row r="62" spans="1:19" x14ac:dyDescent="0.2">
      <c r="G62" s="1618"/>
      <c r="H62" s="1619"/>
      <c r="I62" s="1619"/>
      <c r="J62" s="1620"/>
      <c r="L62" s="1187"/>
      <c r="N62" s="1135">
        <f>L62*12</f>
        <v>0</v>
      </c>
    </row>
    <row r="64" spans="1:19" x14ac:dyDescent="0.2">
      <c r="E64" s="1131" t="s">
        <v>1123</v>
      </c>
      <c r="L64" s="1135">
        <f>SUM(L57:L62)</f>
        <v>0</v>
      </c>
      <c r="N64" s="1135">
        <f>SUM(N57:N62)</f>
        <v>0</v>
      </c>
    </row>
    <row r="65" spans="5:14" x14ac:dyDescent="0.2">
      <c r="E65" s="1131" t="s">
        <v>1124</v>
      </c>
      <c r="J65" s="1137">
        <v>0.05</v>
      </c>
      <c r="L65" s="1135">
        <f>L64*-$J$65</f>
        <v>0</v>
      </c>
      <c r="N65" s="1135">
        <f>N64*-$J$65</f>
        <v>0</v>
      </c>
    </row>
    <row r="67" spans="5:14" x14ac:dyDescent="0.2">
      <c r="E67" s="1131" t="s">
        <v>45</v>
      </c>
      <c r="G67" s="1618" t="s">
        <v>681</v>
      </c>
      <c r="H67" s="1619"/>
      <c r="I67" s="1619"/>
      <c r="J67" s="1620"/>
      <c r="L67" s="1187"/>
      <c r="N67" s="1135">
        <f>L67*12</f>
        <v>0</v>
      </c>
    </row>
    <row r="69" spans="5:14" ht="12" x14ac:dyDescent="0.25">
      <c r="E69" s="1136" t="s">
        <v>684</v>
      </c>
      <c r="L69" s="1135">
        <f>SUM(L64:L67)</f>
        <v>0</v>
      </c>
      <c r="N69" s="1135">
        <f>SUM(N64:N67)</f>
        <v>0</v>
      </c>
    </row>
    <row r="71" spans="5:14" ht="12" x14ac:dyDescent="0.25">
      <c r="E71" s="1263" t="str">
        <f>IF($G$57=0,"",IF(AND(LEFT('Project Information'!B61,3)="40%",(SUMIFS($G$33:$G$55,$F$33:$F$55,"&lt;&gt;"&amp;"80%",$F$33:$F$55,"&lt;&gt;"&amp;"Mkt")/$G$57)&lt;0.4),"WARNING: INSUFFICIENT NUMBER OF LIHTS UNITS TO MEET MINIMUM ELECTION",IF(AND(LEFT('Project Information'!B61,3)="20%",(SUMIFS($G$33:$G$55,$F$33:$F$55,"&lt;&gt;"&amp;"80%",$F$33:$F$55,"&lt;&gt;"&amp;"Mkt",$F$33:$F$55,"&lt;&gt;"&amp;"60% - HH",$F$33:$F$55,"&lt;&gt;"&amp;"60%")/$G$57)&lt;0.2),"WARNING: INSUFFICIENT NUMBER OF LIHTS UNITS TO MEET MINIMUM ELECTION","")))</f>
        <v/>
      </c>
    </row>
    <row r="72" spans="5:14" ht="12" x14ac:dyDescent="0.25">
      <c r="E72" s="1263" t="str">
        <f>IF(G57=0,"",IF(SUMIFS($G$33:$G$55,$F$33:$F$55,"&lt;&gt;"&amp;"80%",$F$33:$F$55,"&lt;&gt;"&amp;"Mkt",$F$33:$F$55,"&lt;&gt;"&amp;"60% - HH",$F$33:$F$55,"&lt;&gt;"&amp;"60%")/SUMIFS($G$33:$G$55,$F$33:$F$55,"&lt;&gt;"&amp;"Mkt")&lt;0.6,"WARNING: INSUFFICIENT NUMBER OF 50% AMI UNITS TO MEET QAP THRESHOLD CRITERIA",""))</f>
        <v/>
      </c>
    </row>
  </sheetData>
  <sheetProtection algorithmName="SHA-512" hashValue="leKrVd/TswDN3PBnjF1F+YIddAj3ZUoGVN32iRGlL9ZbcSqpD1ekEDYhoVUgCwA8nXMh+hs0noy3vofAm1Ac4g==" saltValue="LAW57Q5n9GoSBlJhG9rtLg==" spinCount="100000" sheet="1" objects="1" scenarios="1"/>
  <mergeCells count="44">
    <mergeCell ref="G61:J61"/>
    <mergeCell ref="G62:J62"/>
    <mergeCell ref="G67:J67"/>
    <mergeCell ref="E30:N30"/>
    <mergeCell ref="F8:G8"/>
    <mergeCell ref="F9:G9"/>
    <mergeCell ref="F27:G27"/>
    <mergeCell ref="H27:L27"/>
    <mergeCell ref="F19:L19"/>
    <mergeCell ref="G20:L20"/>
    <mergeCell ref="G21:L21"/>
    <mergeCell ref="G22:L22"/>
    <mergeCell ref="G23:L23"/>
    <mergeCell ref="G24:L24"/>
    <mergeCell ref="H25:L25"/>
    <mergeCell ref="N19:P19"/>
    <mergeCell ref="F7:G7"/>
    <mergeCell ref="H7:I7"/>
    <mergeCell ref="H15:I15"/>
    <mergeCell ref="F14:G14"/>
    <mergeCell ref="F10:G10"/>
    <mergeCell ref="F11:G11"/>
    <mergeCell ref="F12:G12"/>
    <mergeCell ref="H11:I11"/>
    <mergeCell ref="H12:I12"/>
    <mergeCell ref="F13:G13"/>
    <mergeCell ref="H13:I13"/>
    <mergeCell ref="H14:I14"/>
    <mergeCell ref="D2:P2"/>
    <mergeCell ref="H16:I16"/>
    <mergeCell ref="D12:E12"/>
    <mergeCell ref="D13:E13"/>
    <mergeCell ref="D14:E14"/>
    <mergeCell ref="D15:E15"/>
    <mergeCell ref="J6:P6"/>
    <mergeCell ref="D7:E7"/>
    <mergeCell ref="D8:E8"/>
    <mergeCell ref="D9:E9"/>
    <mergeCell ref="D10:E10"/>
    <mergeCell ref="D11:E11"/>
    <mergeCell ref="F15:G15"/>
    <mergeCell ref="H8:I8"/>
    <mergeCell ref="H9:I9"/>
    <mergeCell ref="H10:I10"/>
  </mergeCells>
  <conditionalFormatting sqref="E33:N55">
    <cfRule type="expression" dxfId="14" priority="16">
      <formula>AND(COUNTIFS($C$33:$C$55,$C33)&gt;1,$C33&lt;&gt;"")</formula>
    </cfRule>
  </conditionalFormatting>
  <conditionalFormatting sqref="H33:H55">
    <cfRule type="expression" dxfId="13" priority="26">
      <formula>AND($J33="",$M33&lt;&gt;"")</formula>
    </cfRule>
  </conditionalFormatting>
  <conditionalFormatting sqref="J7:P7">
    <cfRule type="expression" dxfId="12" priority="2">
      <formula>AND(COUNTIFS($C$33:$C$55,$C75)&gt;1,$C75&lt;&gt;"")</formula>
    </cfRule>
  </conditionalFormatting>
  <conditionalFormatting sqref="K33:K45">
    <cfRule type="expression" dxfId="11" priority="1">
      <formula>AND($J33="",$M33&lt;&gt;"")</formula>
    </cfRule>
  </conditionalFormatting>
  <conditionalFormatting sqref="M33:M55">
    <cfRule type="expression" dxfId="10" priority="21">
      <formula>AND($K33&lt;&gt;"",$M33="")</formula>
    </cfRule>
  </conditionalFormatting>
  <conditionalFormatting sqref="R33:R55">
    <cfRule type="expression" dxfId="9" priority="22">
      <formula>RIGHT($F33,1)="H"</formula>
    </cfRule>
  </conditionalFormatting>
  <dataValidations count="5">
    <dataValidation type="list" allowBlank="1" showInputMessage="1" showErrorMessage="1" sqref="J7:P7 E33:E55" xr:uid="{00000000-0002-0000-1000-000000000000}">
      <formula1>"0,1,2,3,4,5,6"</formula1>
    </dataValidation>
    <dataValidation type="list" allowBlank="1" showInputMessage="1" showErrorMessage="1" sqref="F33:F55" xr:uid="{00000000-0002-0000-1000-000001000000}">
      <formula1>"30%, 30% - LH, 30% - HH, 40%, 40% - LH, 40% - HH, 50%, 50% - LH, 50% - HH, 60%, 60% - HH, 80%, Mkt"</formula1>
    </dataValidation>
    <dataValidation type="list" allowBlank="1" showInputMessage="1" showErrorMessage="1" sqref="F20:F25" xr:uid="{00000000-0002-0000-1000-000002000000}">
      <formula1>"Yes, No"</formula1>
    </dataValidation>
    <dataValidation type="list" allowBlank="1" showInputMessage="1" showErrorMessage="1" sqref="H8:I15" xr:uid="{00000000-0002-0000-1000-000003000000}">
      <formula1>"Oil, Propane, Natural Gas, Electric, Electric Heat Pump"</formula1>
    </dataValidation>
    <dataValidation type="list" allowBlank="1" showInputMessage="1" showErrorMessage="1" sqref="F8:G15" xr:uid="{00000000-0002-0000-1000-000004000000}">
      <formula1>"Owner, Tenant"</formula1>
    </dataValidation>
  </dataValidations>
  <hyperlinks>
    <hyperlink ref="N20" r:id="rId1" xr:uid="{00000000-0004-0000-1000-000000000000}"/>
    <hyperlink ref="N21" r:id="rId2" xr:uid="{00000000-0004-0000-1000-000001000000}"/>
  </hyperlinks>
  <pageMargins left="0.7" right="0.7" top="0.75" bottom="0.75" header="0.3" footer="0.3"/>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dimension ref="A1:J105"/>
  <sheetViews>
    <sheetView showGridLines="0" zoomScaleNormal="100" zoomScaleSheetLayoutView="110" workbookViewId="0">
      <selection activeCell="C105" sqref="C105"/>
    </sheetView>
  </sheetViews>
  <sheetFormatPr defaultColWidth="9.109375" defaultRowHeight="12.6" x14ac:dyDescent="0.25"/>
  <cols>
    <col min="1" max="1" width="3" style="248" customWidth="1"/>
    <col min="2" max="2" width="37.33203125" style="248" customWidth="1"/>
    <col min="3" max="3" width="18" style="248" customWidth="1"/>
    <col min="4" max="4" width="4" style="248" customWidth="1"/>
    <col min="5" max="5" width="18" style="248" customWidth="1"/>
    <col min="6" max="6" width="4.6640625" style="248" customWidth="1"/>
    <col min="7" max="16384" width="9.109375" style="248"/>
  </cols>
  <sheetData>
    <row r="1" spans="1:10" ht="13.2" x14ac:dyDescent="0.25">
      <c r="A1" s="246" t="s">
        <v>588</v>
      </c>
      <c r="C1" s="263"/>
      <c r="D1" s="263"/>
      <c r="E1" s="281" t="str">
        <f>'Project Information'!D4</f>
        <v>Project Name</v>
      </c>
    </row>
    <row r="2" spans="1:10" ht="13.2" x14ac:dyDescent="0.25">
      <c r="A2" s="246"/>
      <c r="C2" s="263"/>
      <c r="D2" s="263"/>
      <c r="E2" s="247"/>
    </row>
    <row r="3" spans="1:10" ht="13.8" thickBot="1" x14ac:dyDescent="0.3">
      <c r="A3" s="262"/>
      <c r="B3" s="264" t="s">
        <v>178</v>
      </c>
      <c r="C3" s="265"/>
      <c r="D3" s="265"/>
      <c r="E3" s="265"/>
    </row>
    <row r="4" spans="1:10" ht="13.2" thickTop="1" x14ac:dyDescent="0.25">
      <c r="A4" s="250"/>
      <c r="B4" s="266"/>
    </row>
    <row r="5" spans="1:10" ht="13.2" x14ac:dyDescent="0.25">
      <c r="A5" s="250"/>
      <c r="B5" s="243"/>
      <c r="C5" s="267" t="s">
        <v>564</v>
      </c>
      <c r="D5" s="267"/>
      <c r="E5" s="267" t="s">
        <v>179</v>
      </c>
    </row>
    <row r="6" spans="1:10" s="269" customFormat="1" ht="14.25" customHeight="1" x14ac:dyDescent="0.25">
      <c r="A6" s="268"/>
      <c r="C6" s="270" t="s">
        <v>31</v>
      </c>
      <c r="D6" s="270"/>
      <c r="E6" s="270" t="s">
        <v>33</v>
      </c>
    </row>
    <row r="7" spans="1:10" s="269" customFormat="1" ht="21.75" customHeight="1" x14ac:dyDescent="0.25">
      <c r="A7" s="268"/>
      <c r="B7" s="271" t="s">
        <v>71</v>
      </c>
      <c r="C7" s="270"/>
      <c r="D7" s="270"/>
      <c r="E7" s="270"/>
    </row>
    <row r="8" spans="1:10" s="269" customFormat="1" ht="6" customHeight="1" thickBot="1" x14ac:dyDescent="0.3">
      <c r="A8" s="268"/>
      <c r="B8" s="272"/>
      <c r="C8" s="270"/>
      <c r="D8" s="270"/>
      <c r="E8" s="270"/>
    </row>
    <row r="9" spans="1:10" s="269" customFormat="1" ht="13.8" thickBot="1" x14ac:dyDescent="0.3">
      <c r="A9" s="273"/>
      <c r="B9" s="1211" t="s">
        <v>5</v>
      </c>
      <c r="C9" s="261"/>
      <c r="D9" s="274"/>
      <c r="E9" s="261"/>
      <c r="H9" s="1631" t="str">
        <f>'MH Underwriting'!Q210</f>
        <v/>
      </c>
      <c r="I9" s="1631"/>
      <c r="J9" s="1631"/>
    </row>
    <row r="10" spans="1:10" s="269" customFormat="1" ht="6" customHeight="1" thickBot="1" x14ac:dyDescent="0.3">
      <c r="A10" s="273"/>
      <c r="B10" s="243"/>
      <c r="C10" s="274"/>
      <c r="D10" s="274"/>
      <c r="E10" s="274"/>
      <c r="H10" s="1631"/>
      <c r="I10" s="1631"/>
      <c r="J10" s="1631"/>
    </row>
    <row r="11" spans="1:10" s="269" customFormat="1" ht="13.8" thickBot="1" x14ac:dyDescent="0.3">
      <c r="A11" s="273"/>
      <c r="B11" s="243" t="s">
        <v>1502</v>
      </c>
      <c r="C11" s="261"/>
      <c r="D11" s="274"/>
      <c r="E11" s="261"/>
      <c r="H11" s="1631"/>
      <c r="I11" s="1631"/>
      <c r="J11" s="1631"/>
    </row>
    <row r="12" spans="1:10" s="269" customFormat="1" ht="6" customHeight="1" thickBot="1" x14ac:dyDescent="0.3">
      <c r="A12" s="273"/>
      <c r="B12" s="243"/>
      <c r="C12" s="274"/>
      <c r="D12" s="274"/>
      <c r="E12" s="274"/>
      <c r="H12" s="1631"/>
      <c r="I12" s="1631"/>
      <c r="J12" s="1631"/>
    </row>
    <row r="13" spans="1:10" s="269" customFormat="1" ht="13.8" thickBot="1" x14ac:dyDescent="0.3">
      <c r="A13" s="273"/>
      <c r="B13" s="243" t="s">
        <v>1503</v>
      </c>
      <c r="C13" s="261"/>
      <c r="D13" s="274"/>
      <c r="E13" s="261"/>
      <c r="H13" s="1631"/>
      <c r="I13" s="1631"/>
      <c r="J13" s="1631"/>
    </row>
    <row r="14" spans="1:10" s="269" customFormat="1" ht="6" customHeight="1" thickBot="1" x14ac:dyDescent="0.3">
      <c r="A14" s="273"/>
      <c r="B14" s="243"/>
      <c r="C14" s="274"/>
      <c r="D14" s="274"/>
      <c r="E14" s="274"/>
      <c r="H14" s="1631"/>
      <c r="I14" s="1631"/>
      <c r="J14" s="1631"/>
    </row>
    <row r="15" spans="1:10" s="269" customFormat="1" ht="13.8" thickBot="1" x14ac:dyDescent="0.3">
      <c r="A15" s="273"/>
      <c r="B15" s="243" t="s">
        <v>1504</v>
      </c>
      <c r="C15" s="261"/>
      <c r="D15" s="274"/>
      <c r="E15" s="261"/>
      <c r="H15" s="1631"/>
      <c r="I15" s="1631"/>
      <c r="J15" s="1631"/>
    </row>
    <row r="16" spans="1:10" s="269" customFormat="1" ht="6" customHeight="1" thickBot="1" x14ac:dyDescent="0.3">
      <c r="A16" s="273"/>
      <c r="B16" s="243"/>
      <c r="C16" s="274"/>
      <c r="D16" s="274"/>
      <c r="E16" s="274"/>
      <c r="H16" s="1631"/>
      <c r="I16" s="1631"/>
      <c r="J16" s="1631"/>
    </row>
    <row r="17" spans="1:10" s="269" customFormat="1" ht="13.8" thickBot="1" x14ac:dyDescent="0.3">
      <c r="A17" s="273"/>
      <c r="B17" s="243" t="s">
        <v>1532</v>
      </c>
      <c r="C17" s="261"/>
      <c r="D17" s="274"/>
      <c r="E17" s="261"/>
      <c r="H17" s="1631"/>
      <c r="I17" s="1631"/>
      <c r="J17" s="1631"/>
    </row>
    <row r="18" spans="1:10" s="269" customFormat="1" ht="6" customHeight="1" thickBot="1" x14ac:dyDescent="0.3">
      <c r="A18" s="273"/>
      <c r="B18" s="243"/>
      <c r="C18" s="274"/>
      <c r="D18" s="274"/>
      <c r="E18" s="274"/>
      <c r="H18" s="1631"/>
      <c r="I18" s="1631"/>
      <c r="J18" s="1631"/>
    </row>
    <row r="19" spans="1:10" s="269" customFormat="1" ht="13.8" thickBot="1" x14ac:dyDescent="0.3">
      <c r="A19" s="273"/>
      <c r="B19" s="243" t="s">
        <v>1505</v>
      </c>
      <c r="C19" s="261"/>
      <c r="D19" s="274"/>
      <c r="E19" s="261"/>
      <c r="H19" s="1631"/>
      <c r="I19" s="1631"/>
      <c r="J19" s="1631"/>
    </row>
    <row r="20" spans="1:10" s="269" customFormat="1" ht="6" customHeight="1" thickBot="1" x14ac:dyDescent="0.3">
      <c r="A20" s="273"/>
      <c r="B20" s="243"/>
      <c r="C20" s="274"/>
      <c r="D20" s="274"/>
      <c r="E20" s="274"/>
      <c r="H20" s="1631"/>
      <c r="I20" s="1631"/>
      <c r="J20" s="1631"/>
    </row>
    <row r="21" spans="1:10" s="269" customFormat="1" ht="13.8" thickBot="1" x14ac:dyDescent="0.3">
      <c r="A21" s="273"/>
      <c r="B21" s="243" t="s">
        <v>1506</v>
      </c>
      <c r="C21" s="261"/>
      <c r="D21" s="274"/>
      <c r="E21" s="261"/>
      <c r="H21" s="1631"/>
      <c r="I21" s="1631"/>
      <c r="J21" s="1631"/>
    </row>
    <row r="22" spans="1:10" s="269" customFormat="1" ht="6" customHeight="1" thickBot="1" x14ac:dyDescent="0.3">
      <c r="A22" s="273"/>
      <c r="B22" s="243"/>
      <c r="C22" s="274"/>
      <c r="D22" s="274"/>
      <c r="E22" s="274"/>
      <c r="H22" s="1631"/>
      <c r="I22" s="1631"/>
      <c r="J22" s="1631"/>
    </row>
    <row r="23" spans="1:10" s="269" customFormat="1" ht="13.8" thickBot="1" x14ac:dyDescent="0.3">
      <c r="A23" s="273"/>
      <c r="B23" s="1211" t="s">
        <v>1510</v>
      </c>
      <c r="C23" s="1210">
        <f>SUM(C11:C21)</f>
        <v>0</v>
      </c>
      <c r="D23" s="274"/>
      <c r="E23" s="1210">
        <f>SUM(E11:E21)</f>
        <v>0</v>
      </c>
      <c r="H23" s="1631"/>
      <c r="I23" s="1631"/>
      <c r="J23" s="1631"/>
    </row>
    <row r="24" spans="1:10" s="269" customFormat="1" ht="6" customHeight="1" thickBot="1" x14ac:dyDescent="0.3">
      <c r="A24" s="273"/>
      <c r="B24" s="243"/>
      <c r="C24" s="274"/>
      <c r="D24" s="274"/>
      <c r="E24" s="274"/>
      <c r="H24" s="1631"/>
      <c r="I24" s="1631"/>
      <c r="J24" s="1631"/>
    </row>
    <row r="25" spans="1:10" s="269" customFormat="1" ht="13.8" thickBot="1" x14ac:dyDescent="0.3">
      <c r="A25" s="273"/>
      <c r="B25" s="243" t="s">
        <v>6</v>
      </c>
      <c r="C25" s="261"/>
      <c r="D25" s="274"/>
      <c r="E25" s="261"/>
      <c r="H25" s="1631"/>
      <c r="I25" s="1631"/>
      <c r="J25" s="1631"/>
    </row>
    <row r="26" spans="1:10" s="269" customFormat="1" ht="6" customHeight="1" thickBot="1" x14ac:dyDescent="0.3">
      <c r="A26" s="273"/>
      <c r="B26" s="243"/>
      <c r="C26" s="274"/>
      <c r="D26" s="274"/>
      <c r="E26" s="274"/>
    </row>
    <row r="27" spans="1:10" s="269" customFormat="1" ht="13.8" thickBot="1" x14ac:dyDescent="0.3">
      <c r="A27" s="273"/>
      <c r="B27" s="243" t="s">
        <v>7</v>
      </c>
      <c r="C27" s="261"/>
      <c r="D27" s="274"/>
      <c r="E27" s="261"/>
    </row>
    <row r="28" spans="1:10" s="269" customFormat="1" ht="6" customHeight="1" thickBot="1" x14ac:dyDescent="0.3">
      <c r="A28" s="273"/>
      <c r="B28" s="243"/>
      <c r="C28" s="274"/>
      <c r="D28" s="274"/>
      <c r="E28" s="274"/>
    </row>
    <row r="29" spans="1:10" s="269" customFormat="1" ht="13.8" thickBot="1" x14ac:dyDescent="0.3">
      <c r="A29" s="273"/>
      <c r="B29" s="243" t="s">
        <v>8</v>
      </c>
      <c r="C29" s="261"/>
      <c r="D29" s="274"/>
      <c r="E29" s="261"/>
    </row>
    <row r="30" spans="1:10" s="269" customFormat="1" ht="6" customHeight="1" thickBot="1" x14ac:dyDescent="0.3">
      <c r="A30" s="273"/>
      <c r="B30" s="243"/>
      <c r="C30" s="274"/>
      <c r="D30" s="274"/>
      <c r="E30" s="274"/>
    </row>
    <row r="31" spans="1:10" s="269" customFormat="1" ht="13.8" thickBot="1" x14ac:dyDescent="0.3">
      <c r="A31" s="273"/>
      <c r="B31" s="243" t="s">
        <v>9</v>
      </c>
      <c r="C31" s="44">
        <f>'Additional Op Ex Information'!E18</f>
        <v>0</v>
      </c>
      <c r="D31" s="274"/>
      <c r="E31" s="44">
        <f>'Additional Op Ex Information'!G18</f>
        <v>0</v>
      </c>
      <c r="G31" s="390" t="s">
        <v>623</v>
      </c>
    </row>
    <row r="32" spans="1:10" s="269" customFormat="1" ht="6" customHeight="1" x14ac:dyDescent="0.25">
      <c r="A32" s="273"/>
      <c r="B32" s="272"/>
      <c r="C32" s="274"/>
      <c r="D32" s="274"/>
      <c r="E32" s="274"/>
    </row>
    <row r="33" spans="1:5" s="269" customFormat="1" ht="13.2" x14ac:dyDescent="0.25">
      <c r="A33" s="273"/>
      <c r="B33" s="271" t="s">
        <v>34</v>
      </c>
      <c r="C33" s="275">
        <f>SUM(C9,C23,C25:C31)</f>
        <v>0</v>
      </c>
      <c r="D33" s="274"/>
      <c r="E33" s="275">
        <f>SUM(E9,E23,E25:E31)</f>
        <v>0</v>
      </c>
    </row>
    <row r="34" spans="1:5" s="269" customFormat="1" ht="21.75" customHeight="1" x14ac:dyDescent="0.25">
      <c r="A34" s="268"/>
      <c r="B34" s="271" t="s">
        <v>72</v>
      </c>
      <c r="C34" s="272"/>
      <c r="D34" s="272"/>
      <c r="E34" s="272"/>
    </row>
    <row r="35" spans="1:5" s="269" customFormat="1" ht="6" customHeight="1" thickBot="1" x14ac:dyDescent="0.3">
      <c r="A35" s="268"/>
      <c r="B35" s="272"/>
      <c r="C35" s="272"/>
      <c r="D35" s="272"/>
      <c r="E35" s="272"/>
    </row>
    <row r="36" spans="1:5" s="269" customFormat="1" ht="13.8" thickBot="1" x14ac:dyDescent="0.3">
      <c r="A36" s="273"/>
      <c r="B36" s="243" t="s">
        <v>10</v>
      </c>
      <c r="C36" s="261"/>
      <c r="D36" s="274"/>
      <c r="E36" s="261"/>
    </row>
    <row r="37" spans="1:5" s="269" customFormat="1" ht="6" customHeight="1" thickBot="1" x14ac:dyDescent="0.3">
      <c r="A37" s="273"/>
      <c r="B37" s="243"/>
      <c r="C37" s="274"/>
      <c r="D37" s="274"/>
      <c r="E37" s="274"/>
    </row>
    <row r="38" spans="1:5" s="269" customFormat="1" ht="13.8" thickBot="1" x14ac:dyDescent="0.3">
      <c r="A38" s="273"/>
      <c r="B38" s="243" t="s">
        <v>11</v>
      </c>
      <c r="C38" s="261"/>
      <c r="D38" s="274"/>
      <c r="E38" s="261"/>
    </row>
    <row r="39" spans="1:5" s="269" customFormat="1" ht="6" customHeight="1" thickBot="1" x14ac:dyDescent="0.3">
      <c r="A39" s="273"/>
      <c r="B39" s="243"/>
      <c r="C39" s="274"/>
      <c r="D39" s="274"/>
      <c r="E39" s="274"/>
    </row>
    <row r="40" spans="1:5" s="269" customFormat="1" ht="13.8" thickBot="1" x14ac:dyDescent="0.3">
      <c r="A40" s="273"/>
      <c r="B40" s="243" t="s">
        <v>12</v>
      </c>
      <c r="C40" s="261"/>
      <c r="D40" s="274"/>
      <c r="E40" s="261"/>
    </row>
    <row r="41" spans="1:5" s="269" customFormat="1" ht="6" customHeight="1" thickBot="1" x14ac:dyDescent="0.3">
      <c r="A41" s="273"/>
      <c r="B41" s="243"/>
      <c r="C41" s="274"/>
      <c r="D41" s="274"/>
      <c r="E41" s="274"/>
    </row>
    <row r="42" spans="1:5" s="269" customFormat="1" ht="13.8" thickBot="1" x14ac:dyDescent="0.3">
      <c r="A42" s="273"/>
      <c r="B42" s="243" t="s">
        <v>1511</v>
      </c>
      <c r="C42" s="261"/>
      <c r="D42" s="274"/>
      <c r="E42" s="261"/>
    </row>
    <row r="43" spans="1:5" s="269" customFormat="1" ht="6" customHeight="1" thickBot="1" x14ac:dyDescent="0.3">
      <c r="A43" s="273"/>
      <c r="B43" s="243"/>
      <c r="C43" s="274"/>
      <c r="D43" s="274"/>
      <c r="E43" s="274"/>
    </row>
    <row r="44" spans="1:5" s="269" customFormat="1" ht="13.8" thickBot="1" x14ac:dyDescent="0.3">
      <c r="A44" s="273"/>
      <c r="B44" s="243" t="s">
        <v>1507</v>
      </c>
      <c r="C44" s="261"/>
      <c r="D44" s="274"/>
      <c r="E44" s="261"/>
    </row>
    <row r="45" spans="1:5" s="269" customFormat="1" ht="6" customHeight="1" thickBot="1" x14ac:dyDescent="0.3">
      <c r="A45" s="273"/>
      <c r="B45" s="243"/>
      <c r="C45" s="274"/>
      <c r="D45" s="274"/>
      <c r="E45" s="274"/>
    </row>
    <row r="46" spans="1:5" s="269" customFormat="1" ht="13.8" thickBot="1" x14ac:dyDescent="0.3">
      <c r="A46" s="273"/>
      <c r="B46" s="243" t="s">
        <v>14</v>
      </c>
      <c r="C46" s="261"/>
      <c r="D46" s="274"/>
      <c r="E46" s="261"/>
    </row>
    <row r="47" spans="1:5" s="269" customFormat="1" ht="6" customHeight="1" thickBot="1" x14ac:dyDescent="0.3">
      <c r="A47" s="273"/>
      <c r="B47" s="243"/>
      <c r="C47" s="274"/>
      <c r="D47" s="274"/>
      <c r="E47" s="274"/>
    </row>
    <row r="48" spans="1:5" s="269" customFormat="1" ht="13.8" thickBot="1" x14ac:dyDescent="0.3">
      <c r="A48" s="273"/>
      <c r="B48" s="243" t="s">
        <v>1508</v>
      </c>
      <c r="C48" s="261"/>
      <c r="D48" s="274"/>
      <c r="E48" s="261"/>
    </row>
    <row r="49" spans="1:7" s="269" customFormat="1" ht="6" customHeight="1" thickBot="1" x14ac:dyDescent="0.3">
      <c r="A49" s="273"/>
      <c r="B49" s="243"/>
      <c r="C49" s="274"/>
      <c r="D49" s="274"/>
      <c r="E49" s="274"/>
    </row>
    <row r="50" spans="1:7" s="269" customFormat="1" ht="13.8" thickBot="1" x14ac:dyDescent="0.3">
      <c r="A50" s="273"/>
      <c r="B50" s="243" t="s">
        <v>1509</v>
      </c>
      <c r="C50" s="261"/>
      <c r="D50" s="274"/>
      <c r="E50" s="261"/>
    </row>
    <row r="51" spans="1:7" s="269" customFormat="1" ht="6" customHeight="1" thickBot="1" x14ac:dyDescent="0.3">
      <c r="A51" s="273"/>
      <c r="B51" s="243"/>
      <c r="C51" s="274"/>
      <c r="D51" s="274"/>
      <c r="E51" s="274"/>
    </row>
    <row r="52" spans="1:7" s="269" customFormat="1" ht="13.8" thickBot="1" x14ac:dyDescent="0.3">
      <c r="A52" s="273"/>
      <c r="B52" s="243" t="s">
        <v>16</v>
      </c>
      <c r="C52" s="261"/>
      <c r="D52" s="274"/>
      <c r="E52" s="261"/>
    </row>
    <row r="53" spans="1:7" s="269" customFormat="1" ht="6" customHeight="1" thickBot="1" x14ac:dyDescent="0.3">
      <c r="A53" s="273"/>
      <c r="B53" s="243"/>
      <c r="C53" s="274"/>
      <c r="D53" s="274"/>
      <c r="E53" s="274"/>
    </row>
    <row r="54" spans="1:7" s="269" customFormat="1" ht="13.8" thickBot="1" x14ac:dyDescent="0.3">
      <c r="A54" s="273"/>
      <c r="B54" s="243" t="s">
        <v>17</v>
      </c>
      <c r="C54" s="261"/>
      <c r="D54" s="274"/>
      <c r="E54" s="261"/>
      <c r="G54" s="299"/>
    </row>
    <row r="55" spans="1:7" s="269" customFormat="1" ht="6" customHeight="1" thickBot="1" x14ac:dyDescent="0.3">
      <c r="A55" s="273"/>
      <c r="B55" s="243"/>
      <c r="C55" s="274"/>
      <c r="D55" s="274"/>
      <c r="E55" s="274"/>
    </row>
    <row r="56" spans="1:7" s="269" customFormat="1" ht="13.8" thickBot="1" x14ac:dyDescent="0.3">
      <c r="A56" s="273"/>
      <c r="B56" s="243" t="s">
        <v>18</v>
      </c>
      <c r="C56" s="44">
        <f>'Additional Op Ex Information'!E32</f>
        <v>0</v>
      </c>
      <c r="D56" s="274"/>
      <c r="E56" s="44">
        <f>'Additional Op Ex Information'!G32</f>
        <v>0</v>
      </c>
      <c r="G56" s="390" t="s">
        <v>624</v>
      </c>
    </row>
    <row r="57" spans="1:7" s="269" customFormat="1" ht="6" customHeight="1" x14ac:dyDescent="0.25">
      <c r="A57" s="273"/>
      <c r="B57" s="243"/>
      <c r="C57" s="274"/>
      <c r="D57" s="274"/>
      <c r="E57" s="274"/>
    </row>
    <row r="58" spans="1:7" s="269" customFormat="1" ht="13.2" x14ac:dyDescent="0.25">
      <c r="A58" s="273"/>
      <c r="B58" s="271" t="s">
        <v>35</v>
      </c>
      <c r="C58" s="275">
        <f>SUM(C36:C56)</f>
        <v>0</v>
      </c>
      <c r="D58" s="274"/>
      <c r="E58" s="275">
        <f>SUM(E36:E56)</f>
        <v>0</v>
      </c>
    </row>
    <row r="59" spans="1:7" s="269" customFormat="1" ht="21.75" customHeight="1" x14ac:dyDescent="0.25">
      <c r="A59" s="273"/>
      <c r="B59" s="271" t="s">
        <v>70</v>
      </c>
      <c r="C59" s="272"/>
      <c r="D59" s="272"/>
      <c r="E59" s="272"/>
    </row>
    <row r="60" spans="1:7" s="269" customFormat="1" ht="6" customHeight="1" thickBot="1" x14ac:dyDescent="0.3">
      <c r="A60" s="273"/>
      <c r="B60" s="271"/>
      <c r="C60" s="272"/>
      <c r="D60" s="272"/>
      <c r="E60" s="272"/>
    </row>
    <row r="61" spans="1:7" s="269" customFormat="1" ht="13.8" thickBot="1" x14ac:dyDescent="0.3">
      <c r="A61" s="268"/>
      <c r="B61" s="243" t="s">
        <v>19</v>
      </c>
      <c r="C61" s="261"/>
      <c r="D61" s="274"/>
      <c r="E61" s="261"/>
    </row>
    <row r="62" spans="1:7" s="269" customFormat="1" ht="6" customHeight="1" thickBot="1" x14ac:dyDescent="0.3">
      <c r="A62" s="268"/>
      <c r="B62" s="243"/>
      <c r="C62" s="274"/>
      <c r="D62" s="274"/>
      <c r="E62" s="274"/>
    </row>
    <row r="63" spans="1:7" s="269" customFormat="1" ht="13.8" thickBot="1" x14ac:dyDescent="0.3">
      <c r="A63" s="268"/>
      <c r="B63" s="243" t="s">
        <v>20</v>
      </c>
      <c r="C63" s="261"/>
      <c r="D63" s="274"/>
      <c r="E63" s="261"/>
    </row>
    <row r="64" spans="1:7" s="269" customFormat="1" ht="6" customHeight="1" thickBot="1" x14ac:dyDescent="0.3">
      <c r="A64" s="268"/>
      <c r="B64" s="243"/>
      <c r="C64" s="274"/>
      <c r="D64" s="274"/>
      <c r="E64" s="274"/>
    </row>
    <row r="65" spans="1:7" s="269" customFormat="1" ht="13.8" thickBot="1" x14ac:dyDescent="0.3">
      <c r="A65" s="268"/>
      <c r="B65" s="243" t="s">
        <v>21</v>
      </c>
      <c r="C65" s="261"/>
      <c r="D65" s="274"/>
      <c r="E65" s="261"/>
    </row>
    <row r="66" spans="1:7" s="269" customFormat="1" ht="6" customHeight="1" thickBot="1" x14ac:dyDescent="0.3">
      <c r="A66" s="268"/>
      <c r="B66" s="243"/>
      <c r="C66" s="274"/>
      <c r="D66" s="274"/>
      <c r="E66" s="274"/>
    </row>
    <row r="67" spans="1:7" s="269" customFormat="1" ht="13.8" thickBot="1" x14ac:dyDescent="0.3">
      <c r="A67" s="268"/>
      <c r="B67" s="243" t="s">
        <v>22</v>
      </c>
      <c r="C67" s="44">
        <f>'Additional Op Ex Information'!E46</f>
        <v>0</v>
      </c>
      <c r="D67" s="274"/>
      <c r="E67" s="44">
        <f>'Additional Op Ex Information'!G46</f>
        <v>0</v>
      </c>
      <c r="G67" s="390" t="s">
        <v>625</v>
      </c>
    </row>
    <row r="68" spans="1:7" s="269" customFormat="1" ht="6" customHeight="1" x14ac:dyDescent="0.25">
      <c r="A68" s="268"/>
      <c r="B68" s="243"/>
      <c r="C68" s="274"/>
      <c r="D68" s="274"/>
      <c r="E68" s="274"/>
    </row>
    <row r="69" spans="1:7" s="269" customFormat="1" ht="13.2" x14ac:dyDescent="0.25">
      <c r="A69" s="268"/>
      <c r="B69" s="271" t="s">
        <v>73</v>
      </c>
      <c r="C69" s="275">
        <f>SUM(C61:C68)</f>
        <v>0</v>
      </c>
      <c r="D69" s="274"/>
      <c r="E69" s="275">
        <f>SUM(E61:E68)</f>
        <v>0</v>
      </c>
    </row>
    <row r="70" spans="1:7" s="269" customFormat="1" ht="6" customHeight="1" thickBot="1" x14ac:dyDescent="0.3">
      <c r="A70" s="268"/>
      <c r="B70" s="271"/>
      <c r="C70" s="274"/>
      <c r="D70" s="274"/>
      <c r="E70" s="274"/>
    </row>
    <row r="71" spans="1:7" s="269" customFormat="1" ht="13.8" thickBot="1" x14ac:dyDescent="0.3">
      <c r="A71" s="268"/>
      <c r="B71" s="243" t="s">
        <v>23</v>
      </c>
      <c r="C71" s="261"/>
      <c r="D71" s="274"/>
      <c r="E71" s="261"/>
    </row>
    <row r="72" spans="1:7" s="269" customFormat="1" ht="6" customHeight="1" thickBot="1" x14ac:dyDescent="0.3">
      <c r="A72" s="268"/>
      <c r="B72" s="243"/>
      <c r="C72" s="274"/>
      <c r="D72" s="274"/>
      <c r="E72" s="274"/>
    </row>
    <row r="73" spans="1:7" s="269" customFormat="1" ht="13.8" thickBot="1" x14ac:dyDescent="0.3">
      <c r="A73" s="268"/>
      <c r="B73" s="243" t="s">
        <v>25</v>
      </c>
      <c r="C73" s="261"/>
      <c r="D73" s="274"/>
      <c r="E73" s="261"/>
    </row>
    <row r="74" spans="1:7" s="269" customFormat="1" ht="6" customHeight="1" thickBot="1" x14ac:dyDescent="0.3">
      <c r="A74" s="268"/>
      <c r="B74" s="243"/>
      <c r="C74" s="274"/>
      <c r="D74" s="274"/>
      <c r="E74" s="274"/>
    </row>
    <row r="75" spans="1:7" s="269" customFormat="1" ht="13.8" thickBot="1" x14ac:dyDescent="0.3">
      <c r="A75" s="268"/>
      <c r="B75" s="243" t="s">
        <v>26</v>
      </c>
      <c r="C75" s="261"/>
      <c r="D75" s="274"/>
      <c r="E75" s="261"/>
    </row>
    <row r="76" spans="1:7" s="269" customFormat="1" ht="6" customHeight="1" thickBot="1" x14ac:dyDescent="0.3">
      <c r="A76" s="268"/>
      <c r="B76" s="243"/>
      <c r="C76" s="274"/>
      <c r="D76" s="274"/>
      <c r="E76" s="274"/>
    </row>
    <row r="77" spans="1:7" s="269" customFormat="1" ht="13.8" thickBot="1" x14ac:dyDescent="0.3">
      <c r="A77" s="268"/>
      <c r="B77" s="243" t="s">
        <v>27</v>
      </c>
      <c r="C77" s="261"/>
      <c r="D77" s="274"/>
      <c r="E77" s="261"/>
    </row>
    <row r="78" spans="1:7" s="269" customFormat="1" ht="6" customHeight="1" thickBot="1" x14ac:dyDescent="0.3">
      <c r="A78" s="268"/>
      <c r="B78" s="243"/>
      <c r="C78" s="274"/>
      <c r="D78" s="274"/>
      <c r="E78" s="274"/>
    </row>
    <row r="79" spans="1:7" s="269" customFormat="1" ht="13.8" thickBot="1" x14ac:dyDescent="0.3">
      <c r="A79" s="268"/>
      <c r="B79" s="243" t="s">
        <v>28</v>
      </c>
      <c r="C79" s="44">
        <f>'Additional Op Ex Information'!E60</f>
        <v>0</v>
      </c>
      <c r="D79" s="274"/>
      <c r="E79" s="44">
        <f>'Additional Op Ex Information'!G60</f>
        <v>0</v>
      </c>
      <c r="G79" s="390" t="s">
        <v>626</v>
      </c>
    </row>
    <row r="80" spans="1:7" s="269" customFormat="1" ht="6" customHeight="1" x14ac:dyDescent="0.25">
      <c r="A80" s="268"/>
      <c r="B80" s="243"/>
      <c r="C80" s="274"/>
      <c r="D80" s="274"/>
      <c r="E80" s="274"/>
    </row>
    <row r="81" spans="1:7" s="269" customFormat="1" ht="13.2" x14ac:dyDescent="0.25">
      <c r="A81" s="268"/>
      <c r="B81" s="271" t="s">
        <v>74</v>
      </c>
      <c r="C81" s="275">
        <f>SUM(C71:C80)</f>
        <v>0</v>
      </c>
      <c r="D81" s="274"/>
      <c r="E81" s="275">
        <f>SUM(E71:E80)</f>
        <v>0</v>
      </c>
    </row>
    <row r="82" spans="1:7" s="269" customFormat="1" ht="6" customHeight="1" x14ac:dyDescent="0.25">
      <c r="A82" s="268"/>
      <c r="B82" s="271"/>
      <c r="C82" s="274"/>
      <c r="D82" s="274"/>
      <c r="E82" s="274"/>
    </row>
    <row r="83" spans="1:7" s="269" customFormat="1" ht="13.2" x14ac:dyDescent="0.25">
      <c r="A83" s="268"/>
      <c r="B83" s="271" t="s">
        <v>36</v>
      </c>
      <c r="C83" s="275">
        <f>C69+C81</f>
        <v>0</v>
      </c>
      <c r="D83" s="274"/>
      <c r="E83" s="275">
        <f>E69+E81</f>
        <v>0</v>
      </c>
    </row>
    <row r="84" spans="1:7" s="269" customFormat="1" ht="21.75" customHeight="1" x14ac:dyDescent="0.25">
      <c r="A84" s="268"/>
      <c r="B84" s="271" t="s">
        <v>37</v>
      </c>
      <c r="C84" s="272"/>
      <c r="D84" s="272"/>
      <c r="E84" s="272"/>
    </row>
    <row r="85" spans="1:7" s="269" customFormat="1" ht="6" customHeight="1" thickBot="1" x14ac:dyDescent="0.3">
      <c r="A85" s="268"/>
      <c r="B85" s="271"/>
      <c r="C85" s="272"/>
      <c r="D85" s="272"/>
      <c r="E85" s="272"/>
    </row>
    <row r="86" spans="1:7" s="269" customFormat="1" ht="13.8" thickBot="1" x14ac:dyDescent="0.3">
      <c r="A86" s="268"/>
      <c r="B86" s="243" t="s">
        <v>29</v>
      </c>
      <c r="C86" s="261"/>
      <c r="D86" s="274"/>
      <c r="E86" s="261"/>
    </row>
    <row r="87" spans="1:7" s="269" customFormat="1" ht="6" customHeight="1" thickBot="1" x14ac:dyDescent="0.3">
      <c r="A87" s="268"/>
      <c r="B87" s="243"/>
      <c r="C87" s="274"/>
      <c r="D87" s="274"/>
      <c r="E87" s="274"/>
    </row>
    <row r="88" spans="1:7" s="269" customFormat="1" ht="13.8" thickBot="1" x14ac:dyDescent="0.3">
      <c r="A88" s="268"/>
      <c r="B88" s="243" t="s">
        <v>30</v>
      </c>
      <c r="C88" s="261"/>
      <c r="D88" s="274"/>
      <c r="E88" s="261"/>
    </row>
    <row r="89" spans="1:7" s="269" customFormat="1" ht="6" customHeight="1" thickBot="1" x14ac:dyDescent="0.3">
      <c r="A89" s="268"/>
      <c r="B89" s="243"/>
      <c r="C89" s="274"/>
      <c r="D89" s="274"/>
      <c r="E89" s="274"/>
    </row>
    <row r="90" spans="1:7" s="269" customFormat="1" ht="13.8" thickBot="1" x14ac:dyDescent="0.3">
      <c r="A90" s="273"/>
      <c r="B90" s="243" t="s">
        <v>174</v>
      </c>
      <c r="C90" s="261"/>
      <c r="D90" s="274"/>
      <c r="E90" s="261"/>
      <c r="G90" s="299"/>
    </row>
    <row r="91" spans="1:7" s="269" customFormat="1" ht="6" customHeight="1" thickBot="1" x14ac:dyDescent="0.3">
      <c r="A91" s="268"/>
      <c r="B91" s="243"/>
      <c r="C91" s="274"/>
      <c r="D91" s="274"/>
      <c r="E91" s="274"/>
    </row>
    <row r="92" spans="1:7" s="269" customFormat="1" ht="13.8" thickBot="1" x14ac:dyDescent="0.3">
      <c r="A92" s="268"/>
      <c r="B92" s="243" t="s">
        <v>175</v>
      </c>
      <c r="C92" s="44">
        <f>'Additional Op Ex Information'!E74</f>
        <v>0</v>
      </c>
      <c r="D92" s="274"/>
      <c r="E92" s="44">
        <f>'Additional Op Ex Information'!G74</f>
        <v>0</v>
      </c>
      <c r="G92" s="390" t="s">
        <v>627</v>
      </c>
    </row>
    <row r="93" spans="1:7" s="269" customFormat="1" ht="6" customHeight="1" x14ac:dyDescent="0.25">
      <c r="A93" s="268"/>
      <c r="B93" s="272"/>
      <c r="C93" s="274"/>
      <c r="D93" s="274"/>
      <c r="E93" s="274"/>
    </row>
    <row r="94" spans="1:7" s="269" customFormat="1" ht="13.2" x14ac:dyDescent="0.25">
      <c r="A94" s="268"/>
      <c r="B94" s="271" t="s">
        <v>38</v>
      </c>
      <c r="C94" s="275">
        <f>SUM(C86:C92)</f>
        <v>0</v>
      </c>
      <c r="D94" s="274"/>
      <c r="E94" s="275">
        <f>SUM(E86:E92)</f>
        <v>0</v>
      </c>
    </row>
    <row r="95" spans="1:7" s="269" customFormat="1" ht="6" customHeight="1" thickBot="1" x14ac:dyDescent="0.3">
      <c r="A95" s="268"/>
      <c r="B95" s="271"/>
      <c r="C95" s="276"/>
      <c r="D95" s="276"/>
      <c r="E95" s="276"/>
    </row>
    <row r="96" spans="1:7" s="269" customFormat="1" ht="12.75" customHeight="1" thickBot="1" x14ac:dyDescent="0.3">
      <c r="A96" s="268"/>
      <c r="B96" s="271" t="s">
        <v>176</v>
      </c>
      <c r="C96" s="261"/>
      <c r="D96" s="274"/>
      <c r="E96" s="261">
        <f>'Project Income &amp; UA'!G57*500</f>
        <v>0</v>
      </c>
    </row>
    <row r="97" spans="1:10" s="269" customFormat="1" ht="6" customHeight="1" thickBot="1" x14ac:dyDescent="0.3">
      <c r="A97" s="268"/>
      <c r="B97" s="271"/>
      <c r="C97" s="276"/>
      <c r="D97" s="276"/>
      <c r="E97" s="276"/>
    </row>
    <row r="98" spans="1:10" s="269" customFormat="1" ht="12.75" customHeight="1" thickBot="1" x14ac:dyDescent="0.3">
      <c r="A98" s="268"/>
      <c r="B98" s="271" t="s">
        <v>69</v>
      </c>
      <c r="C98" s="261"/>
      <c r="D98" s="274"/>
      <c r="E98" s="261"/>
      <c r="H98" s="1631" t="str">
        <f>IF('Project Income &amp; UA'!G57=0,"",IF(E96/'Project Income &amp; UA'!G57&lt;450,"WARNING:  REPLACEMENT RESERVE FUNDING LESS THAN MAINEHOUSING GUIDELINES",""))</f>
        <v/>
      </c>
      <c r="I98" s="1631"/>
      <c r="J98" s="1631"/>
    </row>
    <row r="99" spans="1:10" s="269" customFormat="1" ht="6" customHeight="1" x14ac:dyDescent="0.25">
      <c r="A99" s="268"/>
      <c r="B99" s="271"/>
      <c r="C99" s="276"/>
      <c r="D99" s="276"/>
      <c r="E99" s="276"/>
      <c r="H99" s="1631"/>
      <c r="I99" s="1631"/>
      <c r="J99" s="1631"/>
    </row>
    <row r="100" spans="1:10" s="269" customFormat="1" ht="20.25" customHeight="1" x14ac:dyDescent="0.25">
      <c r="A100" s="272"/>
      <c r="B100" s="271" t="s">
        <v>39</v>
      </c>
      <c r="C100" s="277">
        <f>C33+C58+C83+C94+C96+C98</f>
        <v>0</v>
      </c>
      <c r="D100" s="278"/>
      <c r="E100" s="277">
        <f>E33+E58+E83+E94+E96+E98</f>
        <v>0</v>
      </c>
      <c r="H100" s="1631"/>
      <c r="I100" s="1631"/>
      <c r="J100" s="1631"/>
    </row>
    <row r="101" spans="1:10" s="269" customFormat="1" ht="6" customHeight="1" x14ac:dyDescent="0.25">
      <c r="A101" s="272"/>
      <c r="B101" s="271"/>
      <c r="C101" s="278"/>
      <c r="D101" s="274"/>
      <c r="E101" s="278"/>
      <c r="H101" s="1631"/>
      <c r="I101" s="1631"/>
      <c r="J101" s="1631"/>
    </row>
    <row r="102" spans="1:10" x14ac:dyDescent="0.25">
      <c r="H102" s="1631"/>
      <c r="I102" s="1631"/>
      <c r="J102" s="1631"/>
    </row>
    <row r="105" spans="1:10" ht="24" customHeight="1" x14ac:dyDescent="0.25">
      <c r="A105" s="243"/>
      <c r="B105" s="243"/>
      <c r="C105" s="243"/>
      <c r="D105" s="243"/>
      <c r="E105" s="243"/>
      <c r="G105" s="249"/>
    </row>
  </sheetData>
  <sheetProtection algorithmName="SHA-512" hashValue="u35HUfxEW7/r/SJW2AW2KQ+VzRCxYidJt6WZMApsN8Cy7UCFF9Swtmoi9LOEfxGtp5Mwf9T/j0S65J9ikNcXJQ==" saltValue="mYXzGKcPQs06RHkP6ezADw==" spinCount="100000" sheet="1" objects="1" scenarios="1"/>
  <mergeCells count="2">
    <mergeCell ref="H98:J102"/>
    <mergeCell ref="H9:J25"/>
  </mergeCells>
  <phoneticPr fontId="11" type="noConversion"/>
  <printOptions horizontalCentered="1"/>
  <pageMargins left="0.17" right="0.18" top="0.5" bottom="0.5" header="0.5" footer="0.5"/>
  <pageSetup fitToHeight="2" orientation="portrait" r:id="rId1"/>
  <headerFooter alignWithMargins="0"/>
  <rowBreaks count="1" manualBreakCount="1">
    <brk id="83"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pageSetUpPr fitToPage="1"/>
  </sheetPr>
  <dimension ref="A1:L78"/>
  <sheetViews>
    <sheetView showGridLines="0" topLeftCell="A45" zoomScale="110" zoomScaleNormal="110" zoomScaleSheetLayoutView="110" workbookViewId="0">
      <selection activeCell="A25" sqref="A25:XFD25"/>
    </sheetView>
  </sheetViews>
  <sheetFormatPr defaultColWidth="9.109375" defaultRowHeight="12.75" customHeight="1" x14ac:dyDescent="0.25"/>
  <cols>
    <col min="1" max="1" width="3.6640625" style="331" customWidth="1"/>
    <col min="2" max="2" width="3.6640625" style="330" customWidth="1"/>
    <col min="3" max="3" width="40.6640625" style="331" customWidth="1"/>
    <col min="4" max="7" width="9.109375" style="331"/>
    <col min="8" max="12" width="9.109375" style="332"/>
    <col min="13" max="13" width="2.6640625" style="332" customWidth="1"/>
    <col min="14" max="16384" width="9.109375" style="332"/>
  </cols>
  <sheetData>
    <row r="1" spans="1:12" ht="12.75" customHeight="1" x14ac:dyDescent="0.25">
      <c r="A1" s="246" t="s">
        <v>588</v>
      </c>
      <c r="D1" s="332"/>
      <c r="E1" s="332"/>
      <c r="F1" s="332"/>
      <c r="G1" s="332"/>
      <c r="L1" s="536" t="str">
        <f>'Project Information'!D4</f>
        <v>Project Name</v>
      </c>
    </row>
    <row r="2" spans="1:12" ht="12.75" customHeight="1" x14ac:dyDescent="0.25">
      <c r="A2" s="246"/>
      <c r="D2" s="332"/>
      <c r="E2" s="332"/>
      <c r="F2" s="332"/>
      <c r="G2" s="332"/>
    </row>
    <row r="3" spans="1:12" ht="12.75" customHeight="1" x14ac:dyDescent="0.25">
      <c r="A3" s="246"/>
      <c r="D3" s="348"/>
      <c r="E3" s="348" t="s">
        <v>564</v>
      </c>
      <c r="F3" s="348"/>
      <c r="G3" s="348" t="s">
        <v>179</v>
      </c>
    </row>
    <row r="4" spans="1:12" ht="12.75" customHeight="1" x14ac:dyDescent="0.25">
      <c r="A4" s="349" t="s">
        <v>616</v>
      </c>
      <c r="D4" s="350"/>
      <c r="E4" s="350" t="s">
        <v>31</v>
      </c>
      <c r="F4" s="350"/>
      <c r="G4" s="350" t="s">
        <v>33</v>
      </c>
    </row>
    <row r="5" spans="1:12" ht="12.75" customHeight="1" x14ac:dyDescent="0.25">
      <c r="C5" s="351"/>
      <c r="D5" s="351"/>
      <c r="E5" s="351"/>
      <c r="F5" s="351"/>
      <c r="G5" s="351"/>
      <c r="H5" s="352"/>
      <c r="I5" s="353" t="s">
        <v>227</v>
      </c>
    </row>
    <row r="6" spans="1:12" ht="12.75" customHeight="1" thickBot="1" x14ac:dyDescent="0.3">
      <c r="C6" s="351"/>
      <c r="D6" s="351"/>
      <c r="E6" s="351"/>
      <c r="F6" s="351"/>
      <c r="G6" s="351"/>
      <c r="H6" s="352"/>
    </row>
    <row r="7" spans="1:12" ht="12.75" customHeight="1" thickBot="1" x14ac:dyDescent="0.3">
      <c r="A7" s="354"/>
      <c r="B7" s="355" t="s">
        <v>565</v>
      </c>
      <c r="C7" s="332"/>
      <c r="H7" s="356"/>
      <c r="I7" s="1632"/>
      <c r="J7" s="1633"/>
      <c r="K7" s="1633"/>
      <c r="L7" s="1634"/>
    </row>
    <row r="8" spans="1:12" s="360" customFormat="1" ht="12.75" customHeight="1" thickBot="1" x14ac:dyDescent="0.25">
      <c r="A8" s="357"/>
      <c r="B8" s="358">
        <v>1</v>
      </c>
      <c r="C8" s="369"/>
      <c r="D8" s="357"/>
      <c r="E8" s="366"/>
      <c r="F8" s="357"/>
      <c r="G8" s="366"/>
      <c r="H8" s="359"/>
      <c r="I8" s="1635"/>
      <c r="J8" s="1636"/>
      <c r="K8" s="1636"/>
      <c r="L8" s="1637"/>
    </row>
    <row r="9" spans="1:12" s="360" customFormat="1" ht="12.75" customHeight="1" thickBot="1" x14ac:dyDescent="0.25">
      <c r="A9" s="357"/>
      <c r="B9" s="358">
        <f>B8+1</f>
        <v>2</v>
      </c>
      <c r="C9" s="369"/>
      <c r="D9" s="357"/>
      <c r="E9" s="366"/>
      <c r="F9" s="357"/>
      <c r="G9" s="366"/>
      <c r="H9" s="359"/>
      <c r="I9" s="1635"/>
      <c r="J9" s="1636"/>
      <c r="K9" s="1636"/>
      <c r="L9" s="1638"/>
    </row>
    <row r="10" spans="1:12" s="360" customFormat="1" ht="12.75" customHeight="1" thickBot="1" x14ac:dyDescent="0.25">
      <c r="A10" s="357"/>
      <c r="B10" s="358">
        <f t="shared" ref="B10:B17" si="0">B9+1</f>
        <v>3</v>
      </c>
      <c r="C10" s="369"/>
      <c r="D10" s="357"/>
      <c r="E10" s="366"/>
      <c r="F10" s="357"/>
      <c r="G10" s="366"/>
      <c r="H10" s="359"/>
      <c r="I10" s="1635"/>
      <c r="J10" s="1636"/>
      <c r="K10" s="1636"/>
      <c r="L10" s="1638"/>
    </row>
    <row r="11" spans="1:12" s="360" customFormat="1" ht="12.75" customHeight="1" thickBot="1" x14ac:dyDescent="0.25">
      <c r="A11" s="357"/>
      <c r="B11" s="358">
        <f t="shared" si="0"/>
        <v>4</v>
      </c>
      <c r="C11" s="369"/>
      <c r="D11" s="357"/>
      <c r="E11" s="366"/>
      <c r="F11" s="357"/>
      <c r="G11" s="366"/>
      <c r="H11" s="359"/>
      <c r="I11" s="1635"/>
      <c r="J11" s="1636"/>
      <c r="K11" s="1636"/>
      <c r="L11" s="1638"/>
    </row>
    <row r="12" spans="1:12" s="360" customFormat="1" ht="12.75" customHeight="1" thickBot="1" x14ac:dyDescent="0.25">
      <c r="A12" s="357"/>
      <c r="B12" s="358">
        <f t="shared" si="0"/>
        <v>5</v>
      </c>
      <c r="C12" s="369"/>
      <c r="D12" s="357"/>
      <c r="E12" s="366"/>
      <c r="F12" s="357"/>
      <c r="G12" s="366"/>
      <c r="H12" s="359"/>
      <c r="I12" s="1635"/>
      <c r="J12" s="1636"/>
      <c r="K12" s="1636"/>
      <c r="L12" s="1638"/>
    </row>
    <row r="13" spans="1:12" s="360" customFormat="1" ht="12.75" customHeight="1" thickBot="1" x14ac:dyDescent="0.25">
      <c r="A13" s="357"/>
      <c r="B13" s="358">
        <f t="shared" si="0"/>
        <v>6</v>
      </c>
      <c r="C13" s="369"/>
      <c r="D13" s="357"/>
      <c r="E13" s="366"/>
      <c r="F13" s="357"/>
      <c r="G13" s="366"/>
      <c r="H13" s="359"/>
      <c r="I13" s="1635"/>
      <c r="J13" s="1636"/>
      <c r="K13" s="1636"/>
      <c r="L13" s="1638"/>
    </row>
    <row r="14" spans="1:12" s="360" customFormat="1" ht="12.75" customHeight="1" thickBot="1" x14ac:dyDescent="0.25">
      <c r="A14" s="357"/>
      <c r="B14" s="358">
        <f t="shared" si="0"/>
        <v>7</v>
      </c>
      <c r="C14" s="369"/>
      <c r="D14" s="357"/>
      <c r="E14" s="366"/>
      <c r="F14" s="357"/>
      <c r="G14" s="366"/>
      <c r="H14" s="359"/>
      <c r="I14" s="1635"/>
      <c r="J14" s="1636"/>
      <c r="K14" s="1636"/>
      <c r="L14" s="1637"/>
    </row>
    <row r="15" spans="1:12" s="360" customFormat="1" ht="12.75" customHeight="1" thickBot="1" x14ac:dyDescent="0.25">
      <c r="A15" s="357"/>
      <c r="B15" s="358">
        <f t="shared" si="0"/>
        <v>8</v>
      </c>
      <c r="C15" s="366"/>
      <c r="D15" s="357"/>
      <c r="E15" s="366"/>
      <c r="F15" s="357"/>
      <c r="G15" s="366"/>
      <c r="H15" s="359"/>
      <c r="I15" s="1635"/>
      <c r="J15" s="1636"/>
      <c r="K15" s="1636"/>
      <c r="L15" s="1637"/>
    </row>
    <row r="16" spans="1:12" s="360" customFormat="1" ht="12.75" customHeight="1" thickBot="1" x14ac:dyDescent="0.25">
      <c r="A16" s="357"/>
      <c r="B16" s="358">
        <f t="shared" si="0"/>
        <v>9</v>
      </c>
      <c r="C16" s="366"/>
      <c r="D16" s="357"/>
      <c r="E16" s="366"/>
      <c r="F16" s="357"/>
      <c r="G16" s="366"/>
      <c r="H16" s="359"/>
      <c r="I16" s="1635"/>
      <c r="J16" s="1636"/>
      <c r="K16" s="1636"/>
      <c r="L16" s="1637"/>
    </row>
    <row r="17" spans="1:12" s="360" customFormat="1" ht="12.75" customHeight="1" thickBot="1" x14ac:dyDescent="0.25">
      <c r="A17" s="357"/>
      <c r="B17" s="358">
        <f t="shared" si="0"/>
        <v>10</v>
      </c>
      <c r="C17" s="366"/>
      <c r="D17" s="357"/>
      <c r="E17" s="366"/>
      <c r="F17" s="357"/>
      <c r="G17" s="366"/>
      <c r="H17" s="359"/>
      <c r="I17" s="1639"/>
      <c r="J17" s="1640"/>
      <c r="K17" s="1640"/>
      <c r="L17" s="1641"/>
    </row>
    <row r="18" spans="1:12" ht="12.75" customHeight="1" x14ac:dyDescent="0.25">
      <c r="A18" s="361"/>
      <c r="B18" s="362"/>
      <c r="C18" s="349" t="s">
        <v>566</v>
      </c>
      <c r="E18" s="365">
        <f>SUM(E7:E17)</f>
        <v>0</v>
      </c>
      <c r="G18" s="363">
        <f>SUM(G7:G17)</f>
        <v>0</v>
      </c>
      <c r="H18" s="352"/>
    </row>
    <row r="19" spans="1:12" ht="12.75" customHeight="1" x14ac:dyDescent="0.25">
      <c r="H19" s="352"/>
    </row>
    <row r="20" spans="1:12" ht="12.75" customHeight="1" thickBot="1" x14ac:dyDescent="0.3">
      <c r="H20" s="352"/>
    </row>
    <row r="21" spans="1:12" ht="12.75" customHeight="1" thickBot="1" x14ac:dyDescent="0.3">
      <c r="A21" s="354"/>
      <c r="B21" s="355" t="s">
        <v>567</v>
      </c>
      <c r="C21" s="332"/>
      <c r="H21" s="352"/>
      <c r="I21" s="1632"/>
      <c r="J21" s="1633"/>
      <c r="K21" s="1633"/>
      <c r="L21" s="1634"/>
    </row>
    <row r="22" spans="1:12" s="360" customFormat="1" ht="12.75" customHeight="1" thickBot="1" x14ac:dyDescent="0.25">
      <c r="A22" s="357"/>
      <c r="B22" s="358">
        <v>1</v>
      </c>
      <c r="C22" s="369"/>
      <c r="D22" s="357"/>
      <c r="E22" s="366"/>
      <c r="F22" s="357"/>
      <c r="G22" s="366"/>
      <c r="H22" s="359"/>
      <c r="I22" s="1635"/>
      <c r="J22" s="1636"/>
      <c r="K22" s="1636"/>
      <c r="L22" s="1637"/>
    </row>
    <row r="23" spans="1:12" s="360" customFormat="1" ht="12.75" customHeight="1" thickBot="1" x14ac:dyDescent="0.25">
      <c r="A23" s="357"/>
      <c r="B23" s="358">
        <f t="shared" ref="B23:B31" si="1">B22+1</f>
        <v>2</v>
      </c>
      <c r="C23" s="369"/>
      <c r="D23" s="357"/>
      <c r="E23" s="366"/>
      <c r="F23" s="357"/>
      <c r="G23" s="366"/>
      <c r="H23" s="359"/>
      <c r="I23" s="1635"/>
      <c r="J23" s="1636"/>
      <c r="K23" s="1636"/>
      <c r="L23" s="1638"/>
    </row>
    <row r="24" spans="1:12" s="360" customFormat="1" ht="12.75" customHeight="1" thickBot="1" x14ac:dyDescent="0.25">
      <c r="A24" s="357"/>
      <c r="B24" s="358">
        <f t="shared" si="1"/>
        <v>3</v>
      </c>
      <c r="C24" s="369"/>
      <c r="D24" s="357"/>
      <c r="E24" s="366"/>
      <c r="F24" s="357"/>
      <c r="G24" s="366"/>
      <c r="H24" s="359"/>
      <c r="I24" s="1635"/>
      <c r="J24" s="1636"/>
      <c r="K24" s="1636"/>
      <c r="L24" s="1638"/>
    </row>
    <row r="25" spans="1:12" s="360" customFormat="1" ht="12.75" customHeight="1" thickBot="1" x14ac:dyDescent="0.25">
      <c r="A25" s="357"/>
      <c r="B25" s="358">
        <f t="shared" si="1"/>
        <v>4</v>
      </c>
      <c r="C25" s="369"/>
      <c r="D25" s="357"/>
      <c r="E25" s="366"/>
      <c r="F25" s="357"/>
      <c r="G25" s="366"/>
      <c r="H25" s="359"/>
      <c r="I25" s="1635"/>
      <c r="J25" s="1636"/>
      <c r="K25" s="1636"/>
      <c r="L25" s="1638"/>
    </row>
    <row r="26" spans="1:12" s="360" customFormat="1" ht="12.75" customHeight="1" thickBot="1" x14ac:dyDescent="0.25">
      <c r="A26" s="357"/>
      <c r="B26" s="358">
        <f t="shared" si="1"/>
        <v>5</v>
      </c>
      <c r="C26" s="369"/>
      <c r="D26" s="357"/>
      <c r="E26" s="366"/>
      <c r="F26" s="357"/>
      <c r="G26" s="366"/>
      <c r="H26" s="359"/>
      <c r="I26" s="1635"/>
      <c r="J26" s="1636"/>
      <c r="K26" s="1636"/>
      <c r="L26" s="1638"/>
    </row>
    <row r="27" spans="1:12" s="360" customFormat="1" ht="12.75" customHeight="1" thickBot="1" x14ac:dyDescent="0.25">
      <c r="A27" s="357"/>
      <c r="B27" s="358">
        <f t="shared" si="1"/>
        <v>6</v>
      </c>
      <c r="C27" s="369"/>
      <c r="D27" s="357"/>
      <c r="E27" s="366"/>
      <c r="F27" s="357"/>
      <c r="G27" s="366"/>
      <c r="H27" s="359"/>
      <c r="I27" s="1635"/>
      <c r="J27" s="1636"/>
      <c r="K27" s="1636"/>
      <c r="L27" s="1638"/>
    </row>
    <row r="28" spans="1:12" s="360" customFormat="1" ht="12.75" customHeight="1" thickBot="1" x14ac:dyDescent="0.25">
      <c r="A28" s="357"/>
      <c r="B28" s="358">
        <f t="shared" si="1"/>
        <v>7</v>
      </c>
      <c r="C28" s="366"/>
      <c r="D28" s="357"/>
      <c r="E28" s="366"/>
      <c r="F28" s="357"/>
      <c r="G28" s="366"/>
      <c r="H28" s="359"/>
      <c r="I28" s="1635"/>
      <c r="J28" s="1636"/>
      <c r="K28" s="1636"/>
      <c r="L28" s="1637"/>
    </row>
    <row r="29" spans="1:12" s="360" customFormat="1" ht="12.75" customHeight="1" thickBot="1" x14ac:dyDescent="0.25">
      <c r="A29" s="357"/>
      <c r="B29" s="358">
        <f t="shared" si="1"/>
        <v>8</v>
      </c>
      <c r="C29" s="366"/>
      <c r="D29" s="357"/>
      <c r="E29" s="366"/>
      <c r="F29" s="357"/>
      <c r="G29" s="366"/>
      <c r="H29" s="359"/>
      <c r="I29" s="1635"/>
      <c r="J29" s="1636"/>
      <c r="K29" s="1636"/>
      <c r="L29" s="1637"/>
    </row>
    <row r="30" spans="1:12" s="360" customFormat="1" ht="12.75" customHeight="1" thickBot="1" x14ac:dyDescent="0.25">
      <c r="A30" s="357"/>
      <c r="B30" s="358">
        <f t="shared" si="1"/>
        <v>9</v>
      </c>
      <c r="C30" s="366"/>
      <c r="D30" s="357"/>
      <c r="E30" s="366"/>
      <c r="F30" s="357"/>
      <c r="G30" s="366"/>
      <c r="H30" s="359"/>
      <c r="I30" s="1635"/>
      <c r="J30" s="1636"/>
      <c r="K30" s="1636"/>
      <c r="L30" s="1637"/>
    </row>
    <row r="31" spans="1:12" s="360" customFormat="1" ht="12.75" customHeight="1" thickBot="1" x14ac:dyDescent="0.25">
      <c r="A31" s="357"/>
      <c r="B31" s="358">
        <f t="shared" si="1"/>
        <v>10</v>
      </c>
      <c r="C31" s="366"/>
      <c r="D31" s="357"/>
      <c r="E31" s="366"/>
      <c r="F31" s="357"/>
      <c r="G31" s="366"/>
      <c r="H31" s="359"/>
      <c r="I31" s="1639"/>
      <c r="J31" s="1640"/>
      <c r="K31" s="1640"/>
      <c r="L31" s="1641"/>
    </row>
    <row r="32" spans="1:12" ht="12.75" customHeight="1" x14ac:dyDescent="0.25">
      <c r="A32" s="361"/>
      <c r="B32" s="362"/>
      <c r="C32" s="349" t="s">
        <v>568</v>
      </c>
      <c r="E32" s="363">
        <f>SUM(E21:E31)</f>
        <v>0</v>
      </c>
      <c r="G32" s="363">
        <f>SUM(G21:G31)</f>
        <v>0</v>
      </c>
      <c r="H32" s="352"/>
    </row>
    <row r="33" spans="1:12" ht="12.75" customHeight="1" x14ac:dyDescent="0.25">
      <c r="H33" s="352"/>
    </row>
    <row r="34" spans="1:12" ht="12.75" customHeight="1" thickBot="1" x14ac:dyDescent="0.3">
      <c r="H34" s="352"/>
    </row>
    <row r="35" spans="1:12" ht="12.75" customHeight="1" thickBot="1" x14ac:dyDescent="0.3">
      <c r="A35" s="354"/>
      <c r="B35" s="355" t="s">
        <v>571</v>
      </c>
      <c r="C35" s="332"/>
      <c r="H35" s="352"/>
      <c r="I35" s="1632"/>
      <c r="J35" s="1633"/>
      <c r="K35" s="1633"/>
      <c r="L35" s="1634"/>
    </row>
    <row r="36" spans="1:12" s="360" customFormat="1" ht="12.75" customHeight="1" thickBot="1" x14ac:dyDescent="0.25">
      <c r="A36" s="357"/>
      <c r="B36" s="358">
        <v>1</v>
      </c>
      <c r="C36" s="369"/>
      <c r="D36" s="357"/>
      <c r="E36" s="366"/>
      <c r="F36" s="357"/>
      <c r="G36" s="366"/>
      <c r="H36" s="359"/>
      <c r="I36" s="1635"/>
      <c r="J36" s="1636"/>
      <c r="K36" s="1636"/>
      <c r="L36" s="1637"/>
    </row>
    <row r="37" spans="1:12" s="360" customFormat="1" ht="12.75" customHeight="1" thickBot="1" x14ac:dyDescent="0.25">
      <c r="A37" s="357"/>
      <c r="B37" s="358">
        <f t="shared" ref="B37:B45" si="2">B36+1</f>
        <v>2</v>
      </c>
      <c r="C37" s="369"/>
      <c r="D37" s="357"/>
      <c r="E37" s="366"/>
      <c r="F37" s="357"/>
      <c r="G37" s="366"/>
      <c r="H37" s="359"/>
      <c r="I37" s="1635"/>
      <c r="J37" s="1636"/>
      <c r="K37" s="1636"/>
      <c r="L37" s="1638"/>
    </row>
    <row r="38" spans="1:12" s="360" customFormat="1" ht="12.75" customHeight="1" thickBot="1" x14ac:dyDescent="0.25">
      <c r="A38" s="357"/>
      <c r="B38" s="358">
        <f t="shared" si="2"/>
        <v>3</v>
      </c>
      <c r="C38" s="369"/>
      <c r="D38" s="357"/>
      <c r="E38" s="366"/>
      <c r="F38" s="357"/>
      <c r="G38" s="366"/>
      <c r="H38" s="359"/>
      <c r="I38" s="1635"/>
      <c r="J38" s="1636"/>
      <c r="K38" s="1636"/>
      <c r="L38" s="1638"/>
    </row>
    <row r="39" spans="1:12" s="360" customFormat="1" ht="12.75" customHeight="1" thickBot="1" x14ac:dyDescent="0.25">
      <c r="A39" s="357"/>
      <c r="B39" s="358">
        <f t="shared" si="2"/>
        <v>4</v>
      </c>
      <c r="C39" s="369"/>
      <c r="D39" s="357"/>
      <c r="E39" s="366"/>
      <c r="F39" s="357"/>
      <c r="G39" s="366"/>
      <c r="H39" s="359"/>
      <c r="I39" s="1635"/>
      <c r="J39" s="1636"/>
      <c r="K39" s="1636"/>
      <c r="L39" s="1638"/>
    </row>
    <row r="40" spans="1:12" s="360" customFormat="1" ht="12.75" customHeight="1" thickBot="1" x14ac:dyDescent="0.25">
      <c r="A40" s="357"/>
      <c r="B40" s="358">
        <f t="shared" si="2"/>
        <v>5</v>
      </c>
      <c r="C40" s="369"/>
      <c r="D40" s="357"/>
      <c r="E40" s="366"/>
      <c r="F40" s="357"/>
      <c r="G40" s="366"/>
      <c r="H40" s="359"/>
      <c r="I40" s="1635"/>
      <c r="J40" s="1636"/>
      <c r="K40" s="1636"/>
      <c r="L40" s="1638"/>
    </row>
    <row r="41" spans="1:12" s="360" customFormat="1" ht="12.75" customHeight="1" thickBot="1" x14ac:dyDescent="0.25">
      <c r="A41" s="357"/>
      <c r="B41" s="358">
        <f t="shared" si="2"/>
        <v>6</v>
      </c>
      <c r="C41" s="369"/>
      <c r="D41" s="357"/>
      <c r="E41" s="366"/>
      <c r="F41" s="357"/>
      <c r="G41" s="366"/>
      <c r="H41" s="359"/>
      <c r="I41" s="1635"/>
      <c r="J41" s="1636"/>
      <c r="K41" s="1636"/>
      <c r="L41" s="1638"/>
    </row>
    <row r="42" spans="1:12" s="360" customFormat="1" ht="12.75" customHeight="1" thickBot="1" x14ac:dyDescent="0.25">
      <c r="A42" s="357"/>
      <c r="B42" s="358">
        <f t="shared" si="2"/>
        <v>7</v>
      </c>
      <c r="C42" s="366"/>
      <c r="D42" s="357"/>
      <c r="E42" s="366"/>
      <c r="F42" s="357"/>
      <c r="G42" s="366"/>
      <c r="H42" s="359"/>
      <c r="I42" s="1635"/>
      <c r="J42" s="1636"/>
      <c r="K42" s="1636"/>
      <c r="L42" s="1637"/>
    </row>
    <row r="43" spans="1:12" s="360" customFormat="1" ht="12.75" customHeight="1" thickBot="1" x14ac:dyDescent="0.25">
      <c r="A43" s="357"/>
      <c r="B43" s="358">
        <f t="shared" si="2"/>
        <v>8</v>
      </c>
      <c r="C43" s="366"/>
      <c r="D43" s="357"/>
      <c r="E43" s="366"/>
      <c r="F43" s="357"/>
      <c r="G43" s="366"/>
      <c r="H43" s="359"/>
      <c r="I43" s="1635"/>
      <c r="J43" s="1636"/>
      <c r="K43" s="1636"/>
      <c r="L43" s="1637"/>
    </row>
    <row r="44" spans="1:12" s="360" customFormat="1" ht="12.75" customHeight="1" thickBot="1" x14ac:dyDescent="0.25">
      <c r="A44" s="357"/>
      <c r="B44" s="358">
        <f t="shared" si="2"/>
        <v>9</v>
      </c>
      <c r="C44" s="366"/>
      <c r="D44" s="357"/>
      <c r="E44" s="366"/>
      <c r="F44" s="357"/>
      <c r="G44" s="366"/>
      <c r="H44" s="359"/>
      <c r="I44" s="1635"/>
      <c r="J44" s="1636"/>
      <c r="K44" s="1636"/>
      <c r="L44" s="1637"/>
    </row>
    <row r="45" spans="1:12" s="360" customFormat="1" ht="12.75" customHeight="1" thickBot="1" x14ac:dyDescent="0.25">
      <c r="A45" s="357"/>
      <c r="B45" s="358">
        <f t="shared" si="2"/>
        <v>10</v>
      </c>
      <c r="C45" s="366"/>
      <c r="D45" s="357"/>
      <c r="E45" s="366"/>
      <c r="F45" s="357"/>
      <c r="G45" s="366"/>
      <c r="H45" s="359"/>
      <c r="I45" s="1639"/>
      <c r="J45" s="1640"/>
      <c r="K45" s="1640"/>
      <c r="L45" s="1641"/>
    </row>
    <row r="46" spans="1:12" ht="12.75" customHeight="1" x14ac:dyDescent="0.25">
      <c r="A46" s="361"/>
      <c r="B46" s="362"/>
      <c r="C46" s="364" t="s">
        <v>572</v>
      </c>
      <c r="E46" s="363">
        <f>SUM(E35:E45)</f>
        <v>0</v>
      </c>
      <c r="G46" s="363">
        <f>SUM(G35:G45)</f>
        <v>0</v>
      </c>
      <c r="H46" s="352"/>
    </row>
    <row r="47" spans="1:12" ht="12.75" customHeight="1" x14ac:dyDescent="0.25">
      <c r="H47" s="352"/>
    </row>
    <row r="48" spans="1:12" ht="12.75" customHeight="1" thickBot="1" x14ac:dyDescent="0.3">
      <c r="H48" s="352"/>
    </row>
    <row r="49" spans="1:12" ht="13.5" customHeight="1" thickBot="1" x14ac:dyDescent="0.3">
      <c r="A49" s="354"/>
      <c r="B49" s="355" t="s">
        <v>573</v>
      </c>
      <c r="C49" s="332"/>
      <c r="H49" s="352"/>
      <c r="I49" s="1632"/>
      <c r="J49" s="1633"/>
      <c r="K49" s="1633"/>
      <c r="L49" s="1634"/>
    </row>
    <row r="50" spans="1:12" s="360" customFormat="1" ht="12.75" customHeight="1" thickBot="1" x14ac:dyDescent="0.25">
      <c r="A50" s="357"/>
      <c r="B50" s="358">
        <v>1</v>
      </c>
      <c r="C50" s="369"/>
      <c r="D50" s="357"/>
      <c r="E50" s="366"/>
      <c r="F50" s="357"/>
      <c r="G50" s="366"/>
      <c r="H50" s="359"/>
      <c r="I50" s="1635"/>
      <c r="J50" s="1636"/>
      <c r="K50" s="1636"/>
      <c r="L50" s="1637"/>
    </row>
    <row r="51" spans="1:12" s="360" customFormat="1" ht="12.75" customHeight="1" thickBot="1" x14ac:dyDescent="0.25">
      <c r="A51" s="357"/>
      <c r="B51" s="358">
        <f t="shared" ref="B51:B59" si="3">B50+1</f>
        <v>2</v>
      </c>
      <c r="C51" s="369"/>
      <c r="D51" s="357"/>
      <c r="E51" s="366"/>
      <c r="F51" s="357"/>
      <c r="G51" s="366"/>
      <c r="H51" s="359"/>
      <c r="I51" s="1635"/>
      <c r="J51" s="1636"/>
      <c r="K51" s="1636"/>
      <c r="L51" s="1638"/>
    </row>
    <row r="52" spans="1:12" s="360" customFormat="1" ht="12.75" customHeight="1" thickBot="1" x14ac:dyDescent="0.25">
      <c r="A52" s="357"/>
      <c r="B52" s="358">
        <f t="shared" si="3"/>
        <v>3</v>
      </c>
      <c r="C52" s="369"/>
      <c r="D52" s="357"/>
      <c r="E52" s="366"/>
      <c r="F52" s="357"/>
      <c r="G52" s="366"/>
      <c r="H52" s="359"/>
      <c r="I52" s="1635"/>
      <c r="J52" s="1636"/>
      <c r="K52" s="1636"/>
      <c r="L52" s="1638"/>
    </row>
    <row r="53" spans="1:12" s="360" customFormat="1" ht="12.75" customHeight="1" thickBot="1" x14ac:dyDescent="0.25">
      <c r="A53" s="357"/>
      <c r="B53" s="358">
        <f t="shared" si="3"/>
        <v>4</v>
      </c>
      <c r="C53" s="369"/>
      <c r="D53" s="357"/>
      <c r="E53" s="366"/>
      <c r="F53" s="357"/>
      <c r="G53" s="366"/>
      <c r="H53" s="359"/>
      <c r="I53" s="1635"/>
      <c r="J53" s="1636"/>
      <c r="K53" s="1636"/>
      <c r="L53" s="1638"/>
    </row>
    <row r="54" spans="1:12" s="360" customFormat="1" ht="12.75" customHeight="1" thickBot="1" x14ac:dyDescent="0.25">
      <c r="A54" s="357"/>
      <c r="B54" s="358">
        <f t="shared" si="3"/>
        <v>5</v>
      </c>
      <c r="C54" s="369"/>
      <c r="D54" s="357"/>
      <c r="E54" s="366"/>
      <c r="F54" s="357"/>
      <c r="G54" s="366"/>
      <c r="H54" s="359"/>
      <c r="I54" s="1635"/>
      <c r="J54" s="1636"/>
      <c r="K54" s="1636"/>
      <c r="L54" s="1638"/>
    </row>
    <row r="55" spans="1:12" s="360" customFormat="1" ht="12.75" customHeight="1" thickBot="1" x14ac:dyDescent="0.25">
      <c r="A55" s="357"/>
      <c r="B55" s="358">
        <f t="shared" si="3"/>
        <v>6</v>
      </c>
      <c r="C55" s="369"/>
      <c r="D55" s="357"/>
      <c r="E55" s="366"/>
      <c r="F55" s="357"/>
      <c r="G55" s="366"/>
      <c r="H55" s="359"/>
      <c r="I55" s="1635"/>
      <c r="J55" s="1636"/>
      <c r="K55" s="1636"/>
      <c r="L55" s="1638"/>
    </row>
    <row r="56" spans="1:12" s="360" customFormat="1" ht="12.75" customHeight="1" thickBot="1" x14ac:dyDescent="0.25">
      <c r="A56" s="357"/>
      <c r="B56" s="358">
        <f t="shared" si="3"/>
        <v>7</v>
      </c>
      <c r="C56" s="366"/>
      <c r="D56" s="357"/>
      <c r="E56" s="366"/>
      <c r="F56" s="357"/>
      <c r="G56" s="366"/>
      <c r="H56" s="359"/>
      <c r="I56" s="1635"/>
      <c r="J56" s="1636"/>
      <c r="K56" s="1636"/>
      <c r="L56" s="1637"/>
    </row>
    <row r="57" spans="1:12" s="360" customFormat="1" ht="12.75" customHeight="1" thickBot="1" x14ac:dyDescent="0.25">
      <c r="A57" s="357"/>
      <c r="B57" s="358">
        <f t="shared" si="3"/>
        <v>8</v>
      </c>
      <c r="C57" s="366"/>
      <c r="D57" s="357"/>
      <c r="E57" s="366"/>
      <c r="F57" s="357"/>
      <c r="G57" s="366"/>
      <c r="H57" s="359"/>
      <c r="I57" s="1635"/>
      <c r="J57" s="1636"/>
      <c r="K57" s="1636"/>
      <c r="L57" s="1637"/>
    </row>
    <row r="58" spans="1:12" s="360" customFormat="1" ht="12.75" customHeight="1" thickBot="1" x14ac:dyDescent="0.25">
      <c r="A58" s="357"/>
      <c r="B58" s="358">
        <f t="shared" si="3"/>
        <v>9</v>
      </c>
      <c r="C58" s="366"/>
      <c r="D58" s="357"/>
      <c r="E58" s="366"/>
      <c r="F58" s="357"/>
      <c r="G58" s="366"/>
      <c r="H58" s="359"/>
      <c r="I58" s="1635"/>
      <c r="J58" s="1636"/>
      <c r="K58" s="1636"/>
      <c r="L58" s="1637"/>
    </row>
    <row r="59" spans="1:12" s="360" customFormat="1" ht="12.75" customHeight="1" thickBot="1" x14ac:dyDescent="0.25">
      <c r="A59" s="357"/>
      <c r="B59" s="358">
        <f t="shared" si="3"/>
        <v>10</v>
      </c>
      <c r="C59" s="366"/>
      <c r="D59" s="357"/>
      <c r="E59" s="366"/>
      <c r="F59" s="357"/>
      <c r="G59" s="366"/>
      <c r="H59" s="359"/>
      <c r="I59" s="1639"/>
      <c r="J59" s="1640"/>
      <c r="K59" s="1640"/>
      <c r="L59" s="1641"/>
    </row>
    <row r="60" spans="1:12" ht="12.75" customHeight="1" x14ac:dyDescent="0.25">
      <c r="A60" s="361"/>
      <c r="B60" s="362"/>
      <c r="C60" s="349" t="s">
        <v>574</v>
      </c>
      <c r="E60" s="363">
        <f>SUM(E49:E59)</f>
        <v>0</v>
      </c>
      <c r="G60" s="363">
        <f>SUM(G49:G59)</f>
        <v>0</v>
      </c>
      <c r="H60" s="352"/>
    </row>
    <row r="61" spans="1:12" ht="12.75" customHeight="1" x14ac:dyDescent="0.25">
      <c r="H61" s="352"/>
    </row>
    <row r="62" spans="1:12" ht="12.75" customHeight="1" thickBot="1" x14ac:dyDescent="0.3">
      <c r="H62" s="352"/>
    </row>
    <row r="63" spans="1:12" ht="12.75" customHeight="1" thickBot="1" x14ac:dyDescent="0.3">
      <c r="A63" s="354"/>
      <c r="B63" s="355" t="s">
        <v>569</v>
      </c>
      <c r="C63" s="332"/>
      <c r="H63" s="352"/>
      <c r="I63" s="1632"/>
      <c r="J63" s="1633"/>
      <c r="K63" s="1633"/>
      <c r="L63" s="1634"/>
    </row>
    <row r="64" spans="1:12" s="360" customFormat="1" ht="12.75" customHeight="1" thickBot="1" x14ac:dyDescent="0.25">
      <c r="A64" s="357"/>
      <c r="B64" s="358">
        <v>1</v>
      </c>
      <c r="C64" s="369"/>
      <c r="D64" s="357"/>
      <c r="E64" s="366"/>
      <c r="F64" s="357"/>
      <c r="G64" s="366"/>
      <c r="H64" s="359"/>
      <c r="I64" s="1635"/>
      <c r="J64" s="1636"/>
      <c r="K64" s="1636"/>
      <c r="L64" s="1637"/>
    </row>
    <row r="65" spans="1:12" s="360" customFormat="1" ht="12.75" customHeight="1" thickBot="1" x14ac:dyDescent="0.25">
      <c r="A65" s="357"/>
      <c r="B65" s="358">
        <f t="shared" ref="B65:B73" si="4">B64+1</f>
        <v>2</v>
      </c>
      <c r="C65" s="369"/>
      <c r="D65" s="357"/>
      <c r="E65" s="366"/>
      <c r="F65" s="357"/>
      <c r="G65" s="366"/>
      <c r="H65" s="359"/>
      <c r="I65" s="1635"/>
      <c r="J65" s="1636"/>
      <c r="K65" s="1636"/>
      <c r="L65" s="1638"/>
    </row>
    <row r="66" spans="1:12" s="360" customFormat="1" ht="12.75" customHeight="1" thickBot="1" x14ac:dyDescent="0.25">
      <c r="A66" s="357"/>
      <c r="B66" s="358">
        <f t="shared" si="4"/>
        <v>3</v>
      </c>
      <c r="C66" s="369"/>
      <c r="D66" s="357"/>
      <c r="E66" s="366"/>
      <c r="F66" s="357"/>
      <c r="G66" s="366"/>
      <c r="H66" s="359"/>
      <c r="I66" s="1635"/>
      <c r="J66" s="1636"/>
      <c r="K66" s="1636"/>
      <c r="L66" s="1638"/>
    </row>
    <row r="67" spans="1:12" s="360" customFormat="1" ht="12.75" customHeight="1" thickBot="1" x14ac:dyDescent="0.25">
      <c r="A67" s="357"/>
      <c r="B67" s="358">
        <f t="shared" si="4"/>
        <v>4</v>
      </c>
      <c r="C67" s="369"/>
      <c r="D67" s="357"/>
      <c r="E67" s="366"/>
      <c r="F67" s="357"/>
      <c r="G67" s="366"/>
      <c r="H67" s="359"/>
      <c r="I67" s="1635"/>
      <c r="J67" s="1636"/>
      <c r="K67" s="1636"/>
      <c r="L67" s="1638"/>
    </row>
    <row r="68" spans="1:12" s="360" customFormat="1" ht="12.75" customHeight="1" thickBot="1" x14ac:dyDescent="0.25">
      <c r="A68" s="357"/>
      <c r="B68" s="358">
        <f t="shared" si="4"/>
        <v>5</v>
      </c>
      <c r="C68" s="369"/>
      <c r="D68" s="357"/>
      <c r="E68" s="366"/>
      <c r="F68" s="357"/>
      <c r="G68" s="366"/>
      <c r="H68" s="359"/>
      <c r="I68" s="1635"/>
      <c r="J68" s="1636"/>
      <c r="K68" s="1636"/>
      <c r="L68" s="1638"/>
    </row>
    <row r="69" spans="1:12" s="360" customFormat="1" ht="12.75" customHeight="1" thickBot="1" x14ac:dyDescent="0.25">
      <c r="A69" s="357"/>
      <c r="B69" s="358">
        <f t="shared" si="4"/>
        <v>6</v>
      </c>
      <c r="C69" s="369"/>
      <c r="D69" s="357"/>
      <c r="E69" s="366"/>
      <c r="F69" s="357"/>
      <c r="G69" s="366"/>
      <c r="H69" s="359"/>
      <c r="I69" s="1635"/>
      <c r="J69" s="1636"/>
      <c r="K69" s="1636"/>
      <c r="L69" s="1638"/>
    </row>
    <row r="70" spans="1:12" s="360" customFormat="1" ht="12.75" customHeight="1" thickBot="1" x14ac:dyDescent="0.25">
      <c r="A70" s="357"/>
      <c r="B70" s="358">
        <f t="shared" si="4"/>
        <v>7</v>
      </c>
      <c r="C70" s="366"/>
      <c r="D70" s="357"/>
      <c r="E70" s="366"/>
      <c r="F70" s="357"/>
      <c r="G70" s="366"/>
      <c r="H70" s="359"/>
      <c r="I70" s="1635"/>
      <c r="J70" s="1636"/>
      <c r="K70" s="1636"/>
      <c r="L70" s="1637"/>
    </row>
    <row r="71" spans="1:12" s="360" customFormat="1" ht="12.75" customHeight="1" thickBot="1" x14ac:dyDescent="0.25">
      <c r="A71" s="357"/>
      <c r="B71" s="358">
        <f t="shared" si="4"/>
        <v>8</v>
      </c>
      <c r="C71" s="366"/>
      <c r="D71" s="357"/>
      <c r="E71" s="366"/>
      <c r="F71" s="357"/>
      <c r="G71" s="366"/>
      <c r="H71" s="359"/>
      <c r="I71" s="1635"/>
      <c r="J71" s="1636"/>
      <c r="K71" s="1636"/>
      <c r="L71" s="1637"/>
    </row>
    <row r="72" spans="1:12" s="360" customFormat="1" ht="12.75" customHeight="1" thickBot="1" x14ac:dyDescent="0.25">
      <c r="A72" s="357"/>
      <c r="B72" s="358">
        <f t="shared" si="4"/>
        <v>9</v>
      </c>
      <c r="C72" s="366"/>
      <c r="D72" s="357"/>
      <c r="E72" s="366"/>
      <c r="F72" s="357"/>
      <c r="G72" s="366"/>
      <c r="H72" s="359"/>
      <c r="I72" s="1635"/>
      <c r="J72" s="1636"/>
      <c r="K72" s="1636"/>
      <c r="L72" s="1637"/>
    </row>
    <row r="73" spans="1:12" s="360" customFormat="1" ht="12.75" customHeight="1" thickBot="1" x14ac:dyDescent="0.25">
      <c r="A73" s="357"/>
      <c r="B73" s="358">
        <f t="shared" si="4"/>
        <v>10</v>
      </c>
      <c r="C73" s="366"/>
      <c r="D73" s="357"/>
      <c r="E73" s="366"/>
      <c r="F73" s="357"/>
      <c r="G73" s="366"/>
      <c r="H73" s="359"/>
      <c r="I73" s="1639"/>
      <c r="J73" s="1640"/>
      <c r="K73" s="1640"/>
      <c r="L73" s="1641"/>
    </row>
    <row r="74" spans="1:12" ht="12.75" customHeight="1" x14ac:dyDescent="0.25">
      <c r="A74" s="361"/>
      <c r="B74" s="362"/>
      <c r="C74" s="349" t="s">
        <v>570</v>
      </c>
      <c r="E74" s="363">
        <f>SUM(E63:E73)</f>
        <v>0</v>
      </c>
      <c r="G74" s="363">
        <f>SUM(G63:G73)</f>
        <v>0</v>
      </c>
      <c r="H74" s="352"/>
    </row>
    <row r="78" spans="1:12" s="248" customFormat="1" ht="24" customHeight="1" x14ac:dyDescent="0.25">
      <c r="A78" s="243"/>
      <c r="B78" s="243"/>
      <c r="C78" s="243"/>
      <c r="D78" s="243"/>
      <c r="E78" s="243"/>
      <c r="F78" s="243"/>
      <c r="G78" s="243"/>
      <c r="H78" s="243"/>
      <c r="I78" s="243"/>
      <c r="J78" s="243"/>
      <c r="L78" s="249"/>
    </row>
  </sheetData>
  <sheetProtection algorithmName="SHA-512" hashValue="0E0/A+OAPhhgxJs9jMhRmFd2hwd34Ufl51OmAYgjpv8RziV7HUtd9RRLSXP+4P7rlUR9rKbpEEJyjQ2Ozxnp3Q==" saltValue="Cx6UnAWqCWhyD9ss350QUQ==" spinCount="100000" sheet="1" objects="1" scenarios="1" selectLockedCells="1"/>
  <mergeCells count="5">
    <mergeCell ref="I7:L17"/>
    <mergeCell ref="I21:L31"/>
    <mergeCell ref="I35:L45"/>
    <mergeCell ref="I49:L59"/>
    <mergeCell ref="I63:L73"/>
  </mergeCells>
  <printOptions horizontalCentered="1"/>
  <pageMargins left="0.5" right="0.5" top="0.5" bottom="0.5" header="0.5" footer="0.5"/>
  <pageSetup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Button 1">
              <controlPr defaultSize="0" print="0" autoFill="0" autoPict="0" macro="[0]!GoSheetBack">
                <anchor moveWithCells="1" sizeWithCells="1">
                  <from>
                    <xdr:col>1</xdr:col>
                    <xdr:colOff>373380</xdr:colOff>
                    <xdr:row>76</xdr:row>
                    <xdr:rowOff>0</xdr:rowOff>
                  </from>
                  <to>
                    <xdr:col>1</xdr:col>
                    <xdr:colOff>1211580</xdr:colOff>
                    <xdr:row>76</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dimension ref="A1:Y62"/>
  <sheetViews>
    <sheetView showGridLines="0" topLeftCell="A28" zoomScale="110" zoomScaleNormal="110" zoomScaleSheetLayoutView="100" workbookViewId="0">
      <selection activeCell="J48" sqref="J48:S53"/>
    </sheetView>
  </sheetViews>
  <sheetFormatPr defaultColWidth="9.109375" defaultRowHeight="13.2" x14ac:dyDescent="0.25"/>
  <cols>
    <col min="1" max="1" width="3.6640625" style="6" customWidth="1"/>
    <col min="2" max="4" width="10.6640625" style="6" customWidth="1"/>
    <col min="5" max="5" width="9.5546875" style="6" bestFit="1" customWidth="1"/>
    <col min="6" max="7" width="1.6640625" style="6" customWidth="1"/>
    <col min="8" max="8" width="9.5546875" style="6" bestFit="1" customWidth="1"/>
    <col min="9" max="9" width="2.6640625" style="6" customWidth="1"/>
    <col min="10" max="10" width="9.5546875" style="6" bestFit="1" customWidth="1"/>
    <col min="11" max="11" width="2.6640625" style="6" customWidth="1"/>
    <col min="12" max="12" width="9.5546875" style="6" bestFit="1" customWidth="1"/>
    <col min="13" max="13" width="2.6640625" style="6" customWidth="1"/>
    <col min="14" max="14" width="9.5546875" style="6" customWidth="1"/>
    <col min="15" max="16" width="1.6640625" style="6" customWidth="1"/>
    <col min="17" max="17" width="9.5546875" style="6" bestFit="1" customWidth="1"/>
    <col min="18" max="18" width="2.6640625" style="6" customWidth="1"/>
    <col min="19" max="19" width="9.5546875" style="6" bestFit="1" customWidth="1"/>
    <col min="20" max="21" width="1.6640625" style="6" customWidth="1"/>
    <col min="22" max="25" width="9.109375" style="6"/>
    <col min="26" max="26" width="2.6640625" style="6" customWidth="1"/>
    <col min="27" max="16384" width="9.109375" style="6"/>
  </cols>
  <sheetData>
    <row r="1" spans="1:21" ht="12.75" customHeight="1" x14ac:dyDescent="0.25">
      <c r="A1" s="246" t="s">
        <v>588</v>
      </c>
      <c r="E1" s="10"/>
      <c r="U1" s="537" t="str">
        <f>'Project Information'!D4</f>
        <v>Project Name</v>
      </c>
    </row>
    <row r="2" spans="1:21" ht="12.75" customHeight="1" x14ac:dyDescent="0.25">
      <c r="E2" s="10"/>
      <c r="U2" s="8"/>
    </row>
    <row r="3" spans="1:21" ht="13.8" thickBot="1" x14ac:dyDescent="0.3">
      <c r="B3" s="20"/>
      <c r="C3" s="21"/>
      <c r="D3" s="21"/>
      <c r="E3" s="7" t="s">
        <v>94</v>
      </c>
      <c r="F3" s="7"/>
    </row>
    <row r="4" spans="1:21" ht="9" customHeight="1" thickTop="1" x14ac:dyDescent="0.25">
      <c r="B4" s="9"/>
      <c r="C4" s="17"/>
      <c r="D4" s="17"/>
      <c r="E4" s="8"/>
      <c r="F4" s="8"/>
    </row>
    <row r="5" spans="1:21" x14ac:dyDescent="0.25">
      <c r="A5" s="11">
        <v>1</v>
      </c>
      <c r="B5" s="26" t="s">
        <v>47</v>
      </c>
    </row>
    <row r="6" spans="1:21" ht="8.25" customHeight="1" thickBot="1" x14ac:dyDescent="0.3"/>
    <row r="7" spans="1:21" ht="13.5" customHeight="1" thickBot="1" x14ac:dyDescent="0.3">
      <c r="B7" s="9" t="s">
        <v>551</v>
      </c>
      <c r="E7" s="27"/>
      <c r="J7" s="26" t="s">
        <v>177</v>
      </c>
    </row>
    <row r="8" spans="1:21" ht="6" customHeight="1" thickBot="1" x14ac:dyDescent="0.3">
      <c r="B8" s="9"/>
      <c r="E8" s="15"/>
    </row>
    <row r="9" spans="1:21" ht="13.8" thickBot="1" x14ac:dyDescent="0.3">
      <c r="B9" s="9" t="s">
        <v>552</v>
      </c>
      <c r="E9" s="27"/>
      <c r="J9" s="1642"/>
      <c r="K9" s="1643"/>
      <c r="L9" s="1643"/>
      <c r="M9" s="1643"/>
      <c r="N9" s="1643"/>
      <c r="O9" s="1643"/>
      <c r="P9" s="1643"/>
      <c r="Q9" s="1643"/>
      <c r="R9" s="1643"/>
      <c r="S9" s="1644"/>
    </row>
    <row r="10" spans="1:21" ht="6" customHeight="1" thickBot="1" x14ac:dyDescent="0.3">
      <c r="B10" s="9"/>
      <c r="E10" s="22"/>
      <c r="J10" s="1645"/>
      <c r="K10" s="1646"/>
      <c r="L10" s="1646"/>
      <c r="M10" s="1646"/>
      <c r="N10" s="1646"/>
      <c r="O10" s="1646"/>
      <c r="P10" s="1646"/>
      <c r="Q10" s="1646"/>
      <c r="R10" s="1646"/>
      <c r="S10" s="1647"/>
    </row>
    <row r="11" spans="1:21" ht="13.8" thickBot="1" x14ac:dyDescent="0.3">
      <c r="B11" s="9" t="s">
        <v>553</v>
      </c>
      <c r="E11" s="27"/>
      <c r="J11" s="1645"/>
      <c r="K11" s="1646"/>
      <c r="L11" s="1646"/>
      <c r="M11" s="1646"/>
      <c r="N11" s="1646"/>
      <c r="O11" s="1646"/>
      <c r="P11" s="1646"/>
      <c r="Q11" s="1646"/>
      <c r="R11" s="1646"/>
      <c r="S11" s="1647"/>
    </row>
    <row r="12" spans="1:21" ht="6" customHeight="1" thickBot="1" x14ac:dyDescent="0.3">
      <c r="B12" s="9"/>
      <c r="E12" s="22"/>
      <c r="J12" s="1645"/>
      <c r="K12" s="1646"/>
      <c r="L12" s="1646"/>
      <c r="M12" s="1646"/>
      <c r="N12" s="1646"/>
      <c r="O12" s="1646"/>
      <c r="P12" s="1646"/>
      <c r="Q12" s="1646"/>
      <c r="R12" s="1646"/>
      <c r="S12" s="1647"/>
    </row>
    <row r="13" spans="1:21" ht="13.8" thickBot="1" x14ac:dyDescent="0.3">
      <c r="B13" s="9" t="s">
        <v>554</v>
      </c>
      <c r="E13" s="27"/>
      <c r="J13" s="1645"/>
      <c r="K13" s="1646"/>
      <c r="L13" s="1646"/>
      <c r="M13" s="1646"/>
      <c r="N13" s="1646"/>
      <c r="O13" s="1646"/>
      <c r="P13" s="1646"/>
      <c r="Q13" s="1646"/>
      <c r="R13" s="1646"/>
      <c r="S13" s="1647"/>
    </row>
    <row r="14" spans="1:21" ht="6" customHeight="1" thickBot="1" x14ac:dyDescent="0.3">
      <c r="B14" s="9"/>
      <c r="E14" s="22"/>
      <c r="J14" s="1645"/>
      <c r="K14" s="1646"/>
      <c r="L14" s="1646"/>
      <c r="M14" s="1646"/>
      <c r="N14" s="1646"/>
      <c r="O14" s="1646"/>
      <c r="P14" s="1646"/>
      <c r="Q14" s="1646"/>
      <c r="R14" s="1646"/>
      <c r="S14" s="1647"/>
    </row>
    <row r="15" spans="1:21" ht="13.8" thickBot="1" x14ac:dyDescent="0.3">
      <c r="B15" s="9" t="s">
        <v>555</v>
      </c>
      <c r="E15" s="27"/>
      <c r="J15" s="1645"/>
      <c r="K15" s="1646"/>
      <c r="L15" s="1646"/>
      <c r="M15" s="1646"/>
      <c r="N15" s="1646"/>
      <c r="O15" s="1646"/>
      <c r="P15" s="1646"/>
      <c r="Q15" s="1646"/>
      <c r="R15" s="1646"/>
      <c r="S15" s="1647"/>
    </row>
    <row r="16" spans="1:21" ht="6" customHeight="1" thickBot="1" x14ac:dyDescent="0.3">
      <c r="B16" s="9"/>
      <c r="E16" s="22"/>
      <c r="J16" s="1645"/>
      <c r="K16" s="1646"/>
      <c r="L16" s="1646"/>
      <c r="M16" s="1646"/>
      <c r="N16" s="1646"/>
      <c r="O16" s="1646"/>
      <c r="P16" s="1646"/>
      <c r="Q16" s="1646"/>
      <c r="R16" s="1646"/>
      <c r="S16" s="1647"/>
    </row>
    <row r="17" spans="1:21" ht="13.8" thickBot="1" x14ac:dyDescent="0.3">
      <c r="B17" s="9" t="s">
        <v>556</v>
      </c>
      <c r="E17" s="27"/>
      <c r="J17" s="1648"/>
      <c r="K17" s="1649"/>
      <c r="L17" s="1649"/>
      <c r="M17" s="1649"/>
      <c r="N17" s="1649"/>
      <c r="O17" s="1649"/>
      <c r="P17" s="1649"/>
      <c r="Q17" s="1649"/>
      <c r="R17" s="1649"/>
      <c r="S17" s="1650"/>
    </row>
    <row r="18" spans="1:21" ht="13.5" customHeight="1" thickBot="1" x14ac:dyDescent="0.3">
      <c r="B18" s="9"/>
      <c r="E18" s="17"/>
      <c r="K18" s="9"/>
      <c r="L18" s="9"/>
      <c r="M18" s="9"/>
    </row>
    <row r="19" spans="1:21" ht="12.75" customHeight="1" x14ac:dyDescent="0.25">
      <c r="A19" s="11"/>
      <c r="B19" s="26" t="s">
        <v>46</v>
      </c>
      <c r="E19" s="19">
        <f>E7+E9+E11+E13+E15+E17</f>
        <v>0</v>
      </c>
      <c r="J19" s="1651" t="s">
        <v>632</v>
      </c>
      <c r="K19" s="1652"/>
      <c r="L19" s="1652"/>
      <c r="M19" s="1652"/>
      <c r="N19" s="1652"/>
      <c r="O19" s="1652"/>
      <c r="P19" s="1652"/>
      <c r="Q19" s="1652"/>
      <c r="R19" s="1652"/>
      <c r="S19" s="1652"/>
      <c r="T19" s="1652"/>
      <c r="U19" s="1653"/>
    </row>
    <row r="20" spans="1:21" ht="13.5" customHeight="1" x14ac:dyDescent="0.25">
      <c r="J20" s="1654"/>
      <c r="K20" s="1655"/>
      <c r="L20" s="1655"/>
      <c r="M20" s="1655"/>
      <c r="N20" s="1655"/>
      <c r="O20" s="1655"/>
      <c r="P20" s="1655"/>
      <c r="Q20" s="1655"/>
      <c r="R20" s="1655"/>
      <c r="S20" s="1655"/>
      <c r="T20" s="1655"/>
      <c r="U20" s="1656"/>
    </row>
    <row r="21" spans="1:21" ht="12.75" customHeight="1" x14ac:dyDescent="0.25">
      <c r="A21" s="11">
        <v>2</v>
      </c>
      <c r="B21" s="26" t="s">
        <v>48</v>
      </c>
      <c r="J21" s="1654"/>
      <c r="K21" s="1655"/>
      <c r="L21" s="1655"/>
      <c r="M21" s="1655"/>
      <c r="N21" s="1655"/>
      <c r="O21" s="1655"/>
      <c r="P21" s="1655"/>
      <c r="Q21" s="1655"/>
      <c r="R21" s="1655"/>
      <c r="S21" s="1655"/>
      <c r="T21" s="1655"/>
      <c r="U21" s="1656"/>
    </row>
    <row r="22" spans="1:21" ht="9" customHeight="1" thickBot="1" x14ac:dyDescent="0.3">
      <c r="J22" s="1654"/>
      <c r="K22" s="1655"/>
      <c r="L22" s="1655"/>
      <c r="M22" s="1655"/>
      <c r="N22" s="1655"/>
      <c r="O22" s="1655"/>
      <c r="P22" s="1655"/>
      <c r="Q22" s="1655"/>
      <c r="R22" s="1655"/>
      <c r="S22" s="1655"/>
      <c r="T22" s="1655"/>
      <c r="U22" s="1656"/>
    </row>
    <row r="23" spans="1:21" ht="13.8" thickBot="1" x14ac:dyDescent="0.3">
      <c r="B23" s="9" t="s">
        <v>95</v>
      </c>
      <c r="E23" s="2"/>
      <c r="J23" s="1654"/>
      <c r="K23" s="1655"/>
      <c r="L23" s="1655"/>
      <c r="M23" s="1655"/>
      <c r="N23" s="1655"/>
      <c r="O23" s="1655"/>
      <c r="P23" s="1655"/>
      <c r="Q23" s="1655"/>
      <c r="R23" s="1655"/>
      <c r="S23" s="1655"/>
      <c r="T23" s="1655"/>
      <c r="U23" s="1656"/>
    </row>
    <row r="24" spans="1:21" ht="6" customHeight="1" thickBot="1" x14ac:dyDescent="0.3">
      <c r="B24" s="9"/>
      <c r="E24" s="17"/>
      <c r="J24" s="1654"/>
      <c r="K24" s="1655"/>
      <c r="L24" s="1655"/>
      <c r="M24" s="1655"/>
      <c r="N24" s="1655"/>
      <c r="O24" s="1655"/>
      <c r="P24" s="1655"/>
      <c r="Q24" s="1655"/>
      <c r="R24" s="1655"/>
      <c r="S24" s="1655"/>
      <c r="T24" s="1655"/>
      <c r="U24" s="1656"/>
    </row>
    <row r="25" spans="1:21" ht="13.8" thickBot="1" x14ac:dyDescent="0.3">
      <c r="B25" s="9" t="s">
        <v>96</v>
      </c>
      <c r="E25" s="2"/>
      <c r="J25" s="1654"/>
      <c r="K25" s="1655"/>
      <c r="L25" s="1655"/>
      <c r="M25" s="1655"/>
      <c r="N25" s="1655"/>
      <c r="O25" s="1655"/>
      <c r="P25" s="1655"/>
      <c r="Q25" s="1655"/>
      <c r="R25" s="1655"/>
      <c r="S25" s="1655"/>
      <c r="T25" s="1655"/>
      <c r="U25" s="1656"/>
    </row>
    <row r="26" spans="1:21" ht="13.5" customHeight="1" x14ac:dyDescent="0.25">
      <c r="B26" s="9"/>
      <c r="E26" s="17"/>
      <c r="J26" s="1654"/>
      <c r="K26" s="1655"/>
      <c r="L26" s="1655"/>
      <c r="M26" s="1655"/>
      <c r="N26" s="1655"/>
      <c r="O26" s="1655"/>
      <c r="P26" s="1655"/>
      <c r="Q26" s="1655"/>
      <c r="R26" s="1655"/>
      <c r="S26" s="1655"/>
      <c r="T26" s="1655"/>
      <c r="U26" s="1656"/>
    </row>
    <row r="27" spans="1:21" x14ac:dyDescent="0.25">
      <c r="A27" s="11"/>
      <c r="B27" s="26" t="s">
        <v>49</v>
      </c>
      <c r="E27" s="19">
        <f>E23+E25</f>
        <v>0</v>
      </c>
      <c r="J27" s="1654"/>
      <c r="K27" s="1655"/>
      <c r="L27" s="1655"/>
      <c r="M27" s="1655"/>
      <c r="N27" s="1655"/>
      <c r="O27" s="1655"/>
      <c r="P27" s="1655"/>
      <c r="Q27" s="1655"/>
      <c r="R27" s="1655"/>
      <c r="S27" s="1655"/>
      <c r="T27" s="1655"/>
      <c r="U27" s="1656"/>
    </row>
    <row r="28" spans="1:21" x14ac:dyDescent="0.25">
      <c r="J28" s="1654"/>
      <c r="K28" s="1655"/>
      <c r="L28" s="1655"/>
      <c r="M28" s="1655"/>
      <c r="N28" s="1655"/>
      <c r="O28" s="1655"/>
      <c r="P28" s="1655"/>
      <c r="Q28" s="1655"/>
      <c r="R28" s="1655"/>
      <c r="S28" s="1655"/>
      <c r="T28" s="1655"/>
      <c r="U28" s="1656"/>
    </row>
    <row r="29" spans="1:21" x14ac:dyDescent="0.25">
      <c r="A29" s="11">
        <v>3</v>
      </c>
      <c r="B29" s="26" t="s">
        <v>51</v>
      </c>
      <c r="J29" s="1654"/>
      <c r="K29" s="1655"/>
      <c r="L29" s="1655"/>
      <c r="M29" s="1655"/>
      <c r="N29" s="1655"/>
      <c r="O29" s="1655"/>
      <c r="P29" s="1655"/>
      <c r="Q29" s="1655"/>
      <c r="R29" s="1655"/>
      <c r="S29" s="1655"/>
      <c r="T29" s="1655"/>
      <c r="U29" s="1656"/>
    </row>
    <row r="30" spans="1:21" ht="9.75" customHeight="1" thickBot="1" x14ac:dyDescent="0.3">
      <c r="J30" s="1654"/>
      <c r="K30" s="1655"/>
      <c r="L30" s="1655"/>
      <c r="M30" s="1655"/>
      <c r="N30" s="1655"/>
      <c r="O30" s="1655"/>
      <c r="P30" s="1655"/>
      <c r="Q30" s="1655"/>
      <c r="R30" s="1655"/>
      <c r="S30" s="1655"/>
      <c r="T30" s="1655"/>
      <c r="U30" s="1656"/>
    </row>
    <row r="31" spans="1:21" ht="13.8" thickBot="1" x14ac:dyDescent="0.3">
      <c r="B31" s="9" t="s">
        <v>97</v>
      </c>
      <c r="E31" s="2"/>
      <c r="J31" s="1654"/>
      <c r="K31" s="1655"/>
      <c r="L31" s="1655"/>
      <c r="M31" s="1655"/>
      <c r="N31" s="1655"/>
      <c r="O31" s="1655"/>
      <c r="P31" s="1655"/>
      <c r="Q31" s="1655"/>
      <c r="R31" s="1655"/>
      <c r="S31" s="1655"/>
      <c r="T31" s="1655"/>
      <c r="U31" s="1656"/>
    </row>
    <row r="32" spans="1:21" ht="6" customHeight="1" thickBot="1" x14ac:dyDescent="0.3">
      <c r="B32" s="9"/>
      <c r="E32" s="17"/>
      <c r="J32" s="1654"/>
      <c r="K32" s="1655"/>
      <c r="L32" s="1655"/>
      <c r="M32" s="1655"/>
      <c r="N32" s="1655"/>
      <c r="O32" s="1655"/>
      <c r="P32" s="1655"/>
      <c r="Q32" s="1655"/>
      <c r="R32" s="1655"/>
      <c r="S32" s="1655"/>
      <c r="T32" s="1655"/>
      <c r="U32" s="1656"/>
    </row>
    <row r="33" spans="1:21" ht="13.8" thickBot="1" x14ac:dyDescent="0.3">
      <c r="B33" s="9" t="s">
        <v>98</v>
      </c>
      <c r="E33" s="2"/>
      <c r="J33" s="1654"/>
      <c r="K33" s="1655"/>
      <c r="L33" s="1655"/>
      <c r="M33" s="1655"/>
      <c r="N33" s="1655"/>
      <c r="O33" s="1655"/>
      <c r="P33" s="1655"/>
      <c r="Q33" s="1655"/>
      <c r="R33" s="1655"/>
      <c r="S33" s="1655"/>
      <c r="T33" s="1655"/>
      <c r="U33" s="1656"/>
    </row>
    <row r="34" spans="1:21" ht="6" customHeight="1" thickBot="1" x14ac:dyDescent="0.3">
      <c r="B34" s="9"/>
      <c r="E34" s="17"/>
      <c r="J34" s="1654"/>
      <c r="K34" s="1655"/>
      <c r="L34" s="1655"/>
      <c r="M34" s="1655"/>
      <c r="N34" s="1655"/>
      <c r="O34" s="1655"/>
      <c r="P34" s="1655"/>
      <c r="Q34" s="1655"/>
      <c r="R34" s="1655"/>
      <c r="S34" s="1655"/>
      <c r="T34" s="1655"/>
      <c r="U34" s="1656"/>
    </row>
    <row r="35" spans="1:21" ht="13.8" thickBot="1" x14ac:dyDescent="0.3">
      <c r="B35" s="9" t="s">
        <v>99</v>
      </c>
      <c r="E35" s="2"/>
      <c r="J35" s="1654"/>
      <c r="K35" s="1655"/>
      <c r="L35" s="1655"/>
      <c r="M35" s="1655"/>
      <c r="N35" s="1655"/>
      <c r="O35" s="1655"/>
      <c r="P35" s="1655"/>
      <c r="Q35" s="1655"/>
      <c r="R35" s="1655"/>
      <c r="S35" s="1655"/>
      <c r="T35" s="1655"/>
      <c r="U35" s="1656"/>
    </row>
    <row r="36" spans="1:21" ht="6" customHeight="1" thickBot="1" x14ac:dyDescent="0.3">
      <c r="B36" s="9"/>
      <c r="E36" s="17"/>
      <c r="J36" s="1654"/>
      <c r="K36" s="1655"/>
      <c r="L36" s="1655"/>
      <c r="M36" s="1655"/>
      <c r="N36" s="1655"/>
      <c r="O36" s="1655"/>
      <c r="P36" s="1655"/>
      <c r="Q36" s="1655"/>
      <c r="R36" s="1655"/>
      <c r="S36" s="1655"/>
      <c r="T36" s="1655"/>
      <c r="U36" s="1656"/>
    </row>
    <row r="37" spans="1:21" ht="13.8" thickBot="1" x14ac:dyDescent="0.3">
      <c r="B37" s="9" t="s">
        <v>100</v>
      </c>
      <c r="E37" s="2"/>
      <c r="J37" s="1654"/>
      <c r="K37" s="1655"/>
      <c r="L37" s="1655"/>
      <c r="M37" s="1655"/>
      <c r="N37" s="1655"/>
      <c r="O37" s="1655"/>
      <c r="P37" s="1655"/>
      <c r="Q37" s="1655"/>
      <c r="R37" s="1655"/>
      <c r="S37" s="1655"/>
      <c r="T37" s="1655"/>
      <c r="U37" s="1656"/>
    </row>
    <row r="38" spans="1:21" ht="6" customHeight="1" thickBot="1" x14ac:dyDescent="0.3">
      <c r="B38" s="9"/>
      <c r="E38" s="17"/>
      <c r="J38" s="1654"/>
      <c r="K38" s="1655"/>
      <c r="L38" s="1655"/>
      <c r="M38" s="1655"/>
      <c r="N38" s="1655"/>
      <c r="O38" s="1655"/>
      <c r="P38" s="1655"/>
      <c r="Q38" s="1655"/>
      <c r="R38" s="1655"/>
      <c r="S38" s="1655"/>
      <c r="T38" s="1655"/>
      <c r="U38" s="1656"/>
    </row>
    <row r="39" spans="1:21" ht="13.8" thickBot="1" x14ac:dyDescent="0.3">
      <c r="B39" s="9" t="s">
        <v>101</v>
      </c>
      <c r="E39" s="2"/>
      <c r="J39" s="1654"/>
      <c r="K39" s="1655"/>
      <c r="L39" s="1655"/>
      <c r="M39" s="1655"/>
      <c r="N39" s="1655"/>
      <c r="O39" s="1655"/>
      <c r="P39" s="1655"/>
      <c r="Q39" s="1655"/>
      <c r="R39" s="1655"/>
      <c r="S39" s="1655"/>
      <c r="T39" s="1655"/>
      <c r="U39" s="1656"/>
    </row>
    <row r="40" spans="1:21" ht="6" customHeight="1" thickBot="1" x14ac:dyDescent="0.3">
      <c r="B40" s="9"/>
      <c r="E40" s="17"/>
      <c r="J40" s="1654"/>
      <c r="K40" s="1655"/>
      <c r="L40" s="1655"/>
      <c r="M40" s="1655"/>
      <c r="N40" s="1655"/>
      <c r="O40" s="1655"/>
      <c r="P40" s="1655"/>
      <c r="Q40" s="1655"/>
      <c r="R40" s="1655"/>
      <c r="S40" s="1655"/>
      <c r="T40" s="1655"/>
      <c r="U40" s="1656"/>
    </row>
    <row r="41" spans="1:21" ht="13.8" thickBot="1" x14ac:dyDescent="0.3">
      <c r="B41" s="9" t="s">
        <v>557</v>
      </c>
      <c r="E41" s="2"/>
      <c r="J41" s="1654"/>
      <c r="K41" s="1655"/>
      <c r="L41" s="1655"/>
      <c r="M41" s="1655"/>
      <c r="N41" s="1655"/>
      <c r="O41" s="1655"/>
      <c r="P41" s="1655"/>
      <c r="Q41" s="1655"/>
      <c r="R41" s="1655"/>
      <c r="S41" s="1655"/>
      <c r="T41" s="1655"/>
      <c r="U41" s="1656"/>
    </row>
    <row r="42" spans="1:21" ht="6" customHeight="1" thickBot="1" x14ac:dyDescent="0.3">
      <c r="B42" s="9"/>
      <c r="E42" s="17"/>
      <c r="J42" s="1654"/>
      <c r="K42" s="1655"/>
      <c r="L42" s="1655"/>
      <c r="M42" s="1655"/>
      <c r="N42" s="1655"/>
      <c r="O42" s="1655"/>
      <c r="P42" s="1655"/>
      <c r="Q42" s="1655"/>
      <c r="R42" s="1655"/>
      <c r="S42" s="1655"/>
      <c r="T42" s="1655"/>
      <c r="U42" s="1656"/>
    </row>
    <row r="43" spans="1:21" ht="13.8" thickBot="1" x14ac:dyDescent="0.3">
      <c r="B43" s="9" t="s">
        <v>102</v>
      </c>
      <c r="E43" s="2"/>
      <c r="J43" s="1654"/>
      <c r="K43" s="1655"/>
      <c r="L43" s="1655"/>
      <c r="M43" s="1655"/>
      <c r="N43" s="1655"/>
      <c r="O43" s="1655"/>
      <c r="P43" s="1655"/>
      <c r="Q43" s="1655"/>
      <c r="R43" s="1655"/>
      <c r="S43" s="1655"/>
      <c r="T43" s="1655"/>
      <c r="U43" s="1656"/>
    </row>
    <row r="44" spans="1:21" ht="13.5" customHeight="1" thickBot="1" x14ac:dyDescent="0.3">
      <c r="B44" s="9"/>
      <c r="E44" s="17"/>
      <c r="J44" s="1657"/>
      <c r="K44" s="1658"/>
      <c r="L44" s="1658"/>
      <c r="M44" s="1658"/>
      <c r="N44" s="1658"/>
      <c r="O44" s="1658"/>
      <c r="P44" s="1658"/>
      <c r="Q44" s="1658"/>
      <c r="R44" s="1658"/>
      <c r="S44" s="1658"/>
      <c r="T44" s="1658"/>
      <c r="U44" s="1659"/>
    </row>
    <row r="45" spans="1:21" x14ac:dyDescent="0.25">
      <c r="A45" s="10"/>
      <c r="B45" s="26" t="s">
        <v>50</v>
      </c>
      <c r="E45" s="19">
        <f>E31+E33+E35+E37+E39+E41+E43</f>
        <v>0</v>
      </c>
    </row>
    <row r="46" spans="1:21" x14ac:dyDescent="0.25">
      <c r="J46" s="26" t="s">
        <v>602</v>
      </c>
    </row>
    <row r="47" spans="1:21" ht="6" customHeight="1" thickBot="1" x14ac:dyDescent="0.3">
      <c r="B47" s="9"/>
      <c r="E47" s="17"/>
    </row>
    <row r="48" spans="1:21" ht="13.8" thickBot="1" x14ac:dyDescent="0.3">
      <c r="A48" s="11">
        <v>4</v>
      </c>
      <c r="B48" s="26" t="s">
        <v>601</v>
      </c>
      <c r="E48" s="2"/>
      <c r="J48" s="1642"/>
      <c r="K48" s="1643"/>
      <c r="L48" s="1643"/>
      <c r="M48" s="1643"/>
      <c r="N48" s="1643"/>
      <c r="O48" s="1643"/>
      <c r="P48" s="1643"/>
      <c r="Q48" s="1643"/>
      <c r="R48" s="1643"/>
      <c r="S48" s="1644"/>
    </row>
    <row r="49" spans="1:25" ht="13.8" thickBot="1" x14ac:dyDescent="0.3">
      <c r="J49" s="1645"/>
      <c r="K49" s="1646"/>
      <c r="L49" s="1646"/>
      <c r="M49" s="1646"/>
      <c r="N49" s="1646"/>
      <c r="O49" s="1646"/>
      <c r="P49" s="1646"/>
      <c r="Q49" s="1646"/>
      <c r="R49" s="1646"/>
      <c r="S49" s="1647"/>
    </row>
    <row r="50" spans="1:25" ht="13.5" customHeight="1" thickBot="1" x14ac:dyDescent="0.3">
      <c r="A50" s="11">
        <v>5</v>
      </c>
      <c r="B50" s="26" t="s">
        <v>52</v>
      </c>
      <c r="E50" s="28"/>
      <c r="J50" s="1645"/>
      <c r="K50" s="1646"/>
      <c r="L50" s="1646"/>
      <c r="M50" s="1646"/>
      <c r="N50" s="1646"/>
      <c r="O50" s="1646"/>
      <c r="P50" s="1646"/>
      <c r="Q50" s="1646"/>
      <c r="R50" s="1646"/>
      <c r="S50" s="1647"/>
      <c r="W50" s="1660" t="str">
        <f>IF('Project Information'!D26="Acquisition/Rehab",IF('Project Income &amp; UA'!G57=0,"",IF(('Project Costs &amp; Basis'!E9-E52)/'Project Income &amp; UA'!G57&lt;75000,"WARNING:  HARD CONSTRUCTION COSTS BELOW MINIMUM REQUIREMENT","")),"")</f>
        <v/>
      </c>
      <c r="X50" s="1660"/>
      <c r="Y50" s="1660"/>
    </row>
    <row r="51" spans="1:25" ht="13.8" thickBot="1" x14ac:dyDescent="0.3">
      <c r="J51" s="1645"/>
      <c r="K51" s="1646"/>
      <c r="L51" s="1646"/>
      <c r="M51" s="1646"/>
      <c r="N51" s="1646"/>
      <c r="O51" s="1646"/>
      <c r="P51" s="1646"/>
      <c r="Q51" s="1646"/>
      <c r="R51" s="1646"/>
      <c r="S51" s="1647"/>
      <c r="W51" s="1660"/>
      <c r="X51" s="1660"/>
      <c r="Y51" s="1660"/>
    </row>
    <row r="52" spans="1:25" ht="13.8" thickBot="1" x14ac:dyDescent="0.3">
      <c r="A52" s="11">
        <v>6</v>
      </c>
      <c r="B52" s="26" t="s">
        <v>230</v>
      </c>
      <c r="E52" s="28"/>
      <c r="J52" s="1645"/>
      <c r="K52" s="1646"/>
      <c r="L52" s="1646"/>
      <c r="M52" s="1646"/>
      <c r="N52" s="1646"/>
      <c r="O52" s="1646"/>
      <c r="P52" s="1646"/>
      <c r="Q52" s="1646"/>
      <c r="R52" s="1646"/>
      <c r="S52" s="1647"/>
      <c r="W52" s="1660"/>
      <c r="X52" s="1660"/>
      <c r="Y52" s="1660"/>
    </row>
    <row r="53" spans="1:25" ht="13.8" thickBot="1" x14ac:dyDescent="0.3">
      <c r="A53" s="11"/>
      <c r="B53" s="26"/>
      <c r="J53" s="1648"/>
      <c r="K53" s="1649"/>
      <c r="L53" s="1649"/>
      <c r="M53" s="1649"/>
      <c r="N53" s="1649"/>
      <c r="O53" s="1649"/>
      <c r="P53" s="1649"/>
      <c r="Q53" s="1649"/>
      <c r="R53" s="1649"/>
      <c r="S53" s="1650"/>
      <c r="W53" s="1660"/>
      <c r="X53" s="1660"/>
      <c r="Y53" s="1660"/>
    </row>
    <row r="54" spans="1:25" x14ac:dyDescent="0.25">
      <c r="A54" s="11"/>
      <c r="B54" s="26"/>
    </row>
    <row r="55" spans="1:25" x14ac:dyDescent="0.25">
      <c r="A55" s="11"/>
      <c r="B55" s="26"/>
      <c r="E55" s="287" t="str">
        <f>IF('Project Information'!D26="New Construction",IF(E52+0.49&lt;SUM(E50,E48,E45,E27,E19)*0.05,"WARNING:  CONTINGENY IS LESS THAN THE 5% RECOMMENDED BY MAINEHOUSING",""),IF(E52&lt;SUM(E50,E48,E45,E27,E19)*0.1,"WARNING:  CONTINGENY IS LESS THAN THE 10% RECOMMENDED BY MAINEHOUSING",""))</f>
        <v/>
      </c>
    </row>
    <row r="56" spans="1:25" x14ac:dyDescent="0.25">
      <c r="A56" s="11"/>
      <c r="B56" s="26"/>
      <c r="E56" s="301" t="str">
        <f>IF(E55="","","PLEASE PROVIDE AN EXPLANATION FOR USING A LOWER CONTINGENCY")</f>
        <v/>
      </c>
    </row>
    <row r="57" spans="1:25" ht="12.75" customHeight="1" x14ac:dyDescent="0.25"/>
    <row r="60" spans="1:25" s="248" customFormat="1" ht="24" customHeight="1" x14ac:dyDescent="0.25">
      <c r="A60" s="243"/>
      <c r="B60" s="243"/>
      <c r="C60" s="243"/>
      <c r="D60" s="243"/>
      <c r="E60" s="243"/>
      <c r="F60" s="243"/>
      <c r="G60" s="243"/>
      <c r="H60" s="243"/>
      <c r="I60" s="243"/>
      <c r="J60" s="243"/>
      <c r="K60" s="243"/>
      <c r="L60" s="243"/>
      <c r="M60" s="243"/>
      <c r="N60" s="243"/>
      <c r="O60" s="243"/>
      <c r="P60" s="243"/>
      <c r="Q60" s="243"/>
      <c r="R60" s="6"/>
      <c r="S60" s="243"/>
      <c r="U60" s="249"/>
    </row>
    <row r="62" spans="1:25" x14ac:dyDescent="0.25">
      <c r="J62" s="243"/>
    </row>
  </sheetData>
  <sheetProtection algorithmName="SHA-512" hashValue="EzmpzJCCVDE1jd86uCwghSvNzVUDQaxWiKd0qSPhlfd09t9xFs3JHtrAe4SJs0Bur1FD5w2DGwRtVtHpGd0TFQ==" saltValue="gfoyOtuckhkXrHTZ1CNJXQ==" spinCount="100000" sheet="1" objects="1" scenarios="1" selectLockedCells="1"/>
  <mergeCells count="4">
    <mergeCell ref="J9:S17"/>
    <mergeCell ref="J19:U44"/>
    <mergeCell ref="J48:S53"/>
    <mergeCell ref="W50:Y53"/>
  </mergeCells>
  <printOptions horizontalCentered="1"/>
  <pageMargins left="0.5" right="0.5" top="0.75" bottom="0.8" header="0.5" footer="0.5"/>
  <pageSetup scale="77"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AB130"/>
  <sheetViews>
    <sheetView showGridLines="0" zoomScaleNormal="100" zoomScaleSheetLayoutView="100" workbookViewId="0">
      <pane ySplit="7" topLeftCell="A94" activePane="bottomLeft" state="frozen"/>
      <selection activeCell="C41" sqref="C41"/>
      <selection pane="bottomLeft" activeCell="H38" sqref="H38"/>
    </sheetView>
  </sheetViews>
  <sheetFormatPr defaultColWidth="9.109375" defaultRowHeight="13.2" x14ac:dyDescent="0.25"/>
  <cols>
    <col min="1" max="1" width="3.6640625" style="6" customWidth="1"/>
    <col min="2" max="4" width="10.6640625" style="6" customWidth="1"/>
    <col min="5" max="5" width="9.5546875" style="6" bestFit="1" customWidth="1"/>
    <col min="6" max="7" width="1.6640625" style="6" customWidth="1"/>
    <col min="8" max="8" width="9.5546875" style="6" customWidth="1"/>
    <col min="9" max="9" width="2.6640625" style="6" customWidth="1"/>
    <col min="10" max="10" width="9.5546875" style="6" bestFit="1" customWidth="1"/>
    <col min="11" max="11" width="2.6640625" style="6" customWidth="1"/>
    <col min="12" max="12" width="9.5546875" style="6" customWidth="1"/>
    <col min="13" max="13" width="2.6640625" style="6" customWidth="1"/>
    <col min="14" max="14" width="9.5546875" style="6" customWidth="1"/>
    <col min="15" max="16" width="1.6640625" style="6" customWidth="1"/>
    <col min="17" max="17" width="9.5546875" style="6" bestFit="1" customWidth="1"/>
    <col min="18" max="18" width="2.6640625" style="6" customWidth="1"/>
    <col min="19" max="19" width="9.5546875" style="6" bestFit="1" customWidth="1"/>
    <col min="20" max="21" width="2.6640625" style="6" customWidth="1"/>
    <col min="22" max="25" width="9.6640625" style="6" customWidth="1"/>
    <col min="26" max="26" width="3.6640625" style="6" customWidth="1"/>
    <col min="27" max="16384" width="9.109375" style="6"/>
  </cols>
  <sheetData>
    <row r="1" spans="1:25" ht="12.75" customHeight="1" x14ac:dyDescent="0.25">
      <c r="A1" s="246" t="s">
        <v>588</v>
      </c>
      <c r="E1" s="10"/>
      <c r="U1" s="8"/>
      <c r="Y1" s="538" t="str">
        <f>'Project Information'!D4</f>
        <v>Project Name</v>
      </c>
    </row>
    <row r="2" spans="1:25" ht="12.75" customHeight="1" x14ac:dyDescent="0.25">
      <c r="A2" s="10"/>
      <c r="E2" s="24"/>
      <c r="L2" s="23"/>
      <c r="P2" s="1663" t="s">
        <v>103</v>
      </c>
      <c r="Q2" s="1663"/>
      <c r="R2" s="1663"/>
      <c r="S2" s="1663"/>
    </row>
    <row r="3" spans="1:25" x14ac:dyDescent="0.25">
      <c r="E3" s="11" t="s">
        <v>93</v>
      </c>
      <c r="P3" s="1664" t="s">
        <v>561</v>
      </c>
      <c r="Q3" s="1664"/>
      <c r="R3" s="1664"/>
      <c r="S3" s="1664"/>
      <c r="U3" s="49"/>
    </row>
    <row r="4" spans="1:25" x14ac:dyDescent="0.25">
      <c r="P4" s="1664" t="s">
        <v>562</v>
      </c>
      <c r="Q4" s="1664"/>
      <c r="R4" s="1664"/>
      <c r="S4" s="1664"/>
      <c r="U4" s="8"/>
    </row>
    <row r="5" spans="1:25" x14ac:dyDescent="0.25">
      <c r="H5" s="8" t="s">
        <v>563</v>
      </c>
      <c r="I5" s="8"/>
      <c r="J5" s="8" t="s">
        <v>366</v>
      </c>
      <c r="K5" s="8"/>
      <c r="L5" s="8"/>
      <c r="M5" s="8"/>
      <c r="P5" s="8"/>
      <c r="Q5" s="8"/>
      <c r="R5" s="8"/>
      <c r="S5" s="8"/>
      <c r="T5" s="8"/>
      <c r="U5" s="8"/>
    </row>
    <row r="6" spans="1:25" ht="13.8" thickBot="1" x14ac:dyDescent="0.3">
      <c r="B6" s="7"/>
      <c r="C6" s="7"/>
      <c r="D6" s="7"/>
      <c r="E6" s="7" t="s">
        <v>94</v>
      </c>
      <c r="F6" s="7"/>
      <c r="G6" s="12"/>
      <c r="H6" s="7" t="s">
        <v>104</v>
      </c>
      <c r="I6" s="7"/>
      <c r="J6" s="7" t="s">
        <v>104</v>
      </c>
      <c r="K6" s="7"/>
      <c r="L6" s="7" t="s">
        <v>105</v>
      </c>
      <c r="M6" s="7"/>
      <c r="N6" s="7" t="s">
        <v>106</v>
      </c>
      <c r="O6" s="7"/>
      <c r="P6" s="12"/>
      <c r="Q6" s="7" t="s">
        <v>107</v>
      </c>
      <c r="R6" s="7"/>
      <c r="S6" s="7" t="s">
        <v>108</v>
      </c>
      <c r="T6" s="8"/>
      <c r="U6" s="8"/>
    </row>
    <row r="7" spans="1:25" ht="9" customHeight="1" thickTop="1" x14ac:dyDescent="0.25">
      <c r="B7" s="8"/>
      <c r="C7" s="8"/>
      <c r="D7" s="8"/>
      <c r="E7" s="8"/>
      <c r="F7" s="8"/>
      <c r="G7" s="13"/>
      <c r="H7" s="8"/>
      <c r="J7" s="8"/>
      <c r="K7" s="8"/>
      <c r="L7" s="8"/>
      <c r="M7" s="8"/>
      <c r="N7" s="8"/>
      <c r="O7" s="8"/>
      <c r="P7" s="13"/>
      <c r="Q7" s="8"/>
      <c r="R7" s="8"/>
      <c r="S7" s="8"/>
      <c r="T7" s="8"/>
      <c r="U7" s="8"/>
    </row>
    <row r="8" spans="1:25" ht="9" customHeight="1" thickBot="1" x14ac:dyDescent="0.3">
      <c r="B8" s="8"/>
      <c r="C8" s="8"/>
      <c r="D8" s="8"/>
      <c r="E8" s="8"/>
      <c r="F8" s="8"/>
      <c r="G8" s="13"/>
      <c r="H8" s="8"/>
      <c r="J8" s="8"/>
      <c r="K8" s="8"/>
      <c r="L8" s="8"/>
      <c r="M8" s="8"/>
      <c r="N8" s="8"/>
      <c r="O8" s="8"/>
      <c r="P8" s="13"/>
      <c r="Q8" s="8"/>
      <c r="R8" s="8"/>
      <c r="S8" s="8"/>
      <c r="T8" s="8"/>
      <c r="U8" s="8"/>
    </row>
    <row r="9" spans="1:25" ht="13.5" customHeight="1" thickBot="1" x14ac:dyDescent="0.3">
      <c r="A9" s="11">
        <v>7</v>
      </c>
      <c r="B9" s="26" t="s">
        <v>53</v>
      </c>
      <c r="E9" s="19">
        <f>ROUND('Construction Costs'!E19+'Construction Costs'!E27+'Construction Costs'!E45+'Construction Costs'!E48+'Construction Costs'!E50+'Construction Costs'!E52,)</f>
        <v>0</v>
      </c>
      <c r="G9" s="14"/>
      <c r="H9" s="31">
        <f>E9-J9-L9-N9</f>
        <v>0</v>
      </c>
      <c r="J9" s="2"/>
      <c r="K9" s="22"/>
      <c r="L9" s="2"/>
      <c r="M9" s="22"/>
      <c r="N9" s="2"/>
      <c r="O9" s="22"/>
      <c r="P9" s="240"/>
      <c r="Q9" s="31"/>
      <c r="R9" s="22"/>
      <c r="S9" s="370">
        <f>H9</f>
        <v>0</v>
      </c>
      <c r="T9" s="8"/>
      <c r="U9" s="8"/>
    </row>
    <row r="10" spans="1:25" x14ac:dyDescent="0.25">
      <c r="B10" s="9"/>
      <c r="G10" s="14"/>
      <c r="H10" s="47"/>
      <c r="J10" s="47"/>
      <c r="K10" s="47"/>
      <c r="L10" s="47"/>
      <c r="M10" s="47"/>
      <c r="N10" s="47"/>
      <c r="O10" s="47"/>
      <c r="P10" s="241"/>
      <c r="Q10" s="47"/>
      <c r="R10" s="47"/>
      <c r="S10" s="47"/>
      <c r="T10" s="8"/>
      <c r="U10" s="8"/>
    </row>
    <row r="11" spans="1:25" x14ac:dyDescent="0.25">
      <c r="A11" s="11">
        <v>8</v>
      </c>
      <c r="B11" s="26" t="s">
        <v>55</v>
      </c>
      <c r="G11" s="14"/>
      <c r="H11" s="47"/>
      <c r="J11" s="47"/>
      <c r="K11" s="47"/>
      <c r="L11" s="47"/>
      <c r="M11" s="47"/>
      <c r="N11" s="47"/>
      <c r="O11" s="47"/>
      <c r="P11" s="241"/>
      <c r="Q11" s="47"/>
      <c r="R11" s="47"/>
      <c r="S11" s="47"/>
      <c r="T11" s="8"/>
      <c r="U11" s="8"/>
      <c r="V11" s="26" t="s">
        <v>227</v>
      </c>
    </row>
    <row r="12" spans="1:25" ht="9" customHeight="1" thickBot="1" x14ac:dyDescent="0.3">
      <c r="G12" s="14"/>
      <c r="H12" s="47"/>
      <c r="J12" s="47"/>
      <c r="K12" s="47"/>
      <c r="L12" s="47"/>
      <c r="M12" s="47"/>
      <c r="N12" s="47"/>
      <c r="O12" s="47"/>
      <c r="P12" s="241"/>
      <c r="Q12" s="47"/>
      <c r="R12" s="47"/>
      <c r="S12" s="47"/>
      <c r="T12" s="8"/>
      <c r="U12" s="8"/>
    </row>
    <row r="13" spans="1:25" ht="13.8" thickBot="1" x14ac:dyDescent="0.3">
      <c r="B13" s="25" t="s">
        <v>102</v>
      </c>
      <c r="C13" s="17"/>
      <c r="D13" s="17"/>
      <c r="E13" s="31">
        <f>SUM(H13:N13)</f>
        <v>0</v>
      </c>
      <c r="F13" s="9"/>
      <c r="G13" s="16"/>
      <c r="H13" s="2"/>
      <c r="J13" s="2"/>
      <c r="K13" s="22"/>
      <c r="L13" s="2"/>
      <c r="M13" s="22"/>
      <c r="N13" s="2"/>
      <c r="O13" s="22"/>
      <c r="P13" s="240"/>
      <c r="Q13" s="2"/>
      <c r="R13" s="22"/>
      <c r="S13" s="370">
        <f>H13-Q13</f>
        <v>0</v>
      </c>
      <c r="T13" s="8"/>
      <c r="U13" s="10"/>
      <c r="V13" s="1677"/>
      <c r="W13" s="1678"/>
      <c r="X13" s="1678"/>
      <c r="Y13" s="1679"/>
    </row>
    <row r="14" spans="1:25" ht="6" customHeight="1" thickBot="1" x14ac:dyDescent="0.3">
      <c r="B14" s="25"/>
      <c r="C14" s="17"/>
      <c r="D14" s="17"/>
      <c r="E14" s="15"/>
      <c r="F14" s="9"/>
      <c r="G14" s="16"/>
      <c r="H14" s="15"/>
      <c r="J14" s="15"/>
      <c r="K14" s="22"/>
      <c r="L14" s="15"/>
      <c r="M14" s="22"/>
      <c r="N14" s="15"/>
      <c r="O14" s="22"/>
      <c r="P14" s="240"/>
      <c r="Q14" s="15"/>
      <c r="R14" s="22"/>
      <c r="S14" s="15"/>
      <c r="T14" s="8"/>
      <c r="U14" s="10"/>
      <c r="V14" s="1680"/>
      <c r="W14" s="1681"/>
      <c r="X14" s="1681"/>
      <c r="Y14" s="1682"/>
    </row>
    <row r="15" spans="1:25" ht="13.8" thickBot="1" x14ac:dyDescent="0.3">
      <c r="B15" s="9" t="s">
        <v>109</v>
      </c>
      <c r="C15" s="17"/>
      <c r="D15" s="17"/>
      <c r="E15" s="31">
        <f>SUM(H15:N15)</f>
        <v>0</v>
      </c>
      <c r="F15" s="9"/>
      <c r="G15" s="16"/>
      <c r="H15" s="2"/>
      <c r="J15" s="2"/>
      <c r="K15" s="22"/>
      <c r="L15" s="2"/>
      <c r="M15" s="22"/>
      <c r="N15" s="2"/>
      <c r="O15" s="22"/>
      <c r="P15" s="240"/>
      <c r="Q15" s="2"/>
      <c r="R15" s="22"/>
      <c r="S15" s="370">
        <f>H15-Q15</f>
        <v>0</v>
      </c>
      <c r="T15" s="8"/>
      <c r="U15" s="10"/>
      <c r="V15" s="1680"/>
      <c r="W15" s="1681"/>
      <c r="X15" s="1681"/>
      <c r="Y15" s="1682"/>
    </row>
    <row r="16" spans="1:25" ht="6" customHeight="1" thickBot="1" x14ac:dyDescent="0.3">
      <c r="B16" s="9"/>
      <c r="C16" s="17"/>
      <c r="D16" s="17"/>
      <c r="E16" s="17"/>
      <c r="F16" s="9"/>
      <c r="G16" s="16"/>
      <c r="H16" s="22"/>
      <c r="J16" s="22"/>
      <c r="K16" s="22"/>
      <c r="L16" s="22"/>
      <c r="M16" s="22"/>
      <c r="N16" s="22"/>
      <c r="O16" s="22"/>
      <c r="P16" s="240"/>
      <c r="Q16" s="22"/>
      <c r="R16" s="22"/>
      <c r="S16" s="22"/>
      <c r="T16" s="8"/>
      <c r="U16" s="10"/>
      <c r="V16" s="1680"/>
      <c r="W16" s="1681"/>
      <c r="X16" s="1681"/>
      <c r="Y16" s="1682"/>
    </row>
    <row r="17" spans="1:25" ht="13.8" thickBot="1" x14ac:dyDescent="0.3">
      <c r="B17" s="9" t="s">
        <v>110</v>
      </c>
      <c r="C17" s="17"/>
      <c r="D17" s="17"/>
      <c r="E17" s="31">
        <f>SUM(H17:N17)</f>
        <v>0</v>
      </c>
      <c r="F17" s="9"/>
      <c r="G17" s="16"/>
      <c r="H17" s="2"/>
      <c r="J17" s="2"/>
      <c r="K17" s="22"/>
      <c r="L17" s="2"/>
      <c r="M17" s="22"/>
      <c r="N17" s="2"/>
      <c r="O17" s="22"/>
      <c r="P17" s="240"/>
      <c r="Q17" s="2"/>
      <c r="R17" s="22"/>
      <c r="S17" s="370">
        <f>H17-Q17</f>
        <v>0</v>
      </c>
      <c r="T17" s="8"/>
      <c r="U17" s="10"/>
      <c r="V17" s="1680"/>
      <c r="W17" s="1681"/>
      <c r="X17" s="1681"/>
      <c r="Y17" s="1682"/>
    </row>
    <row r="18" spans="1:25" ht="6" customHeight="1" thickBot="1" x14ac:dyDescent="0.3">
      <c r="B18" s="9"/>
      <c r="C18" s="17"/>
      <c r="D18" s="17"/>
      <c r="E18" s="17"/>
      <c r="F18" s="9"/>
      <c r="G18" s="16"/>
      <c r="H18" s="22"/>
      <c r="J18" s="22"/>
      <c r="K18" s="22"/>
      <c r="L18" s="22"/>
      <c r="M18" s="22"/>
      <c r="N18" s="22"/>
      <c r="O18" s="22"/>
      <c r="P18" s="240"/>
      <c r="Q18" s="22"/>
      <c r="R18" s="22"/>
      <c r="S18" s="22"/>
      <c r="T18" s="8"/>
      <c r="U18" s="10"/>
      <c r="V18" s="1680"/>
      <c r="W18" s="1681"/>
      <c r="X18" s="1681"/>
      <c r="Y18" s="1682"/>
    </row>
    <row r="19" spans="1:25" ht="13.8" thickBot="1" x14ac:dyDescent="0.3">
      <c r="B19" s="9" t="s">
        <v>111</v>
      </c>
      <c r="C19" s="17"/>
      <c r="D19" s="17"/>
      <c r="E19" s="31">
        <f>SUM(H19:N19)</f>
        <v>0</v>
      </c>
      <c r="F19" s="9"/>
      <c r="G19" s="16"/>
      <c r="H19" s="2"/>
      <c r="J19" s="2"/>
      <c r="K19" s="22"/>
      <c r="L19" s="2"/>
      <c r="M19" s="22"/>
      <c r="N19" s="2"/>
      <c r="O19" s="22"/>
      <c r="P19" s="240"/>
      <c r="Q19" s="2"/>
      <c r="R19" s="22"/>
      <c r="S19" s="370">
        <f>H19-Q19</f>
        <v>0</v>
      </c>
      <c r="T19" s="8"/>
      <c r="U19" s="10"/>
      <c r="V19" s="1680"/>
      <c r="W19" s="1681"/>
      <c r="X19" s="1681"/>
      <c r="Y19" s="1682"/>
    </row>
    <row r="20" spans="1:25" ht="6" customHeight="1" thickBot="1" x14ac:dyDescent="0.3">
      <c r="B20" s="9"/>
      <c r="C20" s="17"/>
      <c r="D20" s="17"/>
      <c r="E20" s="17"/>
      <c r="F20" s="9"/>
      <c r="G20" s="16"/>
      <c r="H20" s="22"/>
      <c r="J20" s="22"/>
      <c r="K20" s="22"/>
      <c r="L20" s="22"/>
      <c r="M20" s="22"/>
      <c r="N20" s="22"/>
      <c r="O20" s="22"/>
      <c r="P20" s="240"/>
      <c r="Q20" s="22"/>
      <c r="R20" s="22"/>
      <c r="S20" s="22"/>
      <c r="T20" s="8"/>
      <c r="U20" s="10"/>
      <c r="V20" s="1680"/>
      <c r="W20" s="1681"/>
      <c r="X20" s="1681"/>
      <c r="Y20" s="1682"/>
    </row>
    <row r="21" spans="1:25" ht="13.8" thickBot="1" x14ac:dyDescent="0.3">
      <c r="B21" s="9" t="s">
        <v>112</v>
      </c>
      <c r="E21" s="31">
        <f>SUM(H21:N21)</f>
        <v>0</v>
      </c>
      <c r="F21" s="9"/>
      <c r="G21" s="16"/>
      <c r="H21" s="2"/>
      <c r="J21" s="2"/>
      <c r="K21" s="22"/>
      <c r="L21" s="2"/>
      <c r="M21" s="22"/>
      <c r="N21" s="2"/>
      <c r="O21" s="22"/>
      <c r="P21" s="240"/>
      <c r="Q21" s="2"/>
      <c r="R21" s="22"/>
      <c r="S21" s="370">
        <f>H21-Q21</f>
        <v>0</v>
      </c>
      <c r="T21" s="8"/>
      <c r="U21" s="10"/>
      <c r="V21" s="1680"/>
      <c r="W21" s="1681"/>
      <c r="X21" s="1681"/>
      <c r="Y21" s="1682"/>
    </row>
    <row r="22" spans="1:25" ht="6" customHeight="1" thickBot="1" x14ac:dyDescent="0.3">
      <c r="B22" s="9"/>
      <c r="E22" s="17"/>
      <c r="F22" s="9"/>
      <c r="G22" s="16"/>
      <c r="H22" s="22"/>
      <c r="J22" s="22"/>
      <c r="K22" s="22"/>
      <c r="L22" s="22"/>
      <c r="M22" s="22"/>
      <c r="N22" s="22"/>
      <c r="O22" s="22"/>
      <c r="P22" s="240"/>
      <c r="Q22" s="22"/>
      <c r="R22" s="22"/>
      <c r="S22" s="22"/>
      <c r="T22" s="8"/>
      <c r="U22" s="10"/>
      <c r="V22" s="1680"/>
      <c r="W22" s="1681"/>
      <c r="X22" s="1681"/>
      <c r="Y22" s="1682"/>
    </row>
    <row r="23" spans="1:25" ht="13.8" thickBot="1" x14ac:dyDescent="0.3">
      <c r="B23" s="9" t="s">
        <v>113</v>
      </c>
      <c r="C23" s="17"/>
      <c r="D23" s="17"/>
      <c r="E23" s="31">
        <f>SUM(H23:N23)</f>
        <v>0</v>
      </c>
      <c r="F23" s="9"/>
      <c r="G23" s="16"/>
      <c r="H23" s="2"/>
      <c r="J23" s="2"/>
      <c r="K23" s="22"/>
      <c r="L23" s="2"/>
      <c r="M23" s="22"/>
      <c r="N23" s="2"/>
      <c r="O23" s="22"/>
      <c r="P23" s="240"/>
      <c r="Q23" s="2"/>
      <c r="R23" s="22"/>
      <c r="S23" s="370">
        <f>H23-Q23</f>
        <v>0</v>
      </c>
      <c r="T23" s="8"/>
      <c r="U23" s="10"/>
      <c r="V23" s="1680"/>
      <c r="W23" s="1681"/>
      <c r="X23" s="1681"/>
      <c r="Y23" s="1682"/>
    </row>
    <row r="24" spans="1:25" ht="6" customHeight="1" thickBot="1" x14ac:dyDescent="0.3">
      <c r="B24" s="9"/>
      <c r="C24" s="17"/>
      <c r="D24" s="17"/>
      <c r="E24" s="17"/>
      <c r="F24" s="9"/>
      <c r="G24" s="16"/>
      <c r="H24" s="22"/>
      <c r="J24" s="22"/>
      <c r="K24" s="22"/>
      <c r="L24" s="22"/>
      <c r="M24" s="22"/>
      <c r="N24" s="22"/>
      <c r="O24" s="22"/>
      <c r="P24" s="240"/>
      <c r="Q24" s="22"/>
      <c r="R24" s="22"/>
      <c r="S24" s="22"/>
      <c r="T24" s="8"/>
      <c r="U24" s="10"/>
      <c r="V24" s="1680"/>
      <c r="W24" s="1681"/>
      <c r="X24" s="1681"/>
      <c r="Y24" s="1682"/>
    </row>
    <row r="25" spans="1:25" ht="13.8" thickBot="1" x14ac:dyDescent="0.3">
      <c r="B25" s="9" t="s">
        <v>558</v>
      </c>
      <c r="C25" s="17"/>
      <c r="D25" s="17"/>
      <c r="E25" s="31">
        <f>SUM(H25:N25)</f>
        <v>0</v>
      </c>
      <c r="F25" s="9"/>
      <c r="G25" s="16"/>
      <c r="H25" s="2"/>
      <c r="J25" s="2"/>
      <c r="K25" s="22"/>
      <c r="L25" s="2"/>
      <c r="M25" s="22"/>
      <c r="N25" s="2"/>
      <c r="O25" s="22"/>
      <c r="P25" s="240"/>
      <c r="Q25" s="2"/>
      <c r="R25" s="22"/>
      <c r="S25" s="370">
        <f>H25-Q25</f>
        <v>0</v>
      </c>
      <c r="T25" s="8"/>
      <c r="U25" s="10"/>
      <c r="V25" s="1680"/>
      <c r="W25" s="1681"/>
      <c r="X25" s="1681"/>
      <c r="Y25" s="1682"/>
    </row>
    <row r="26" spans="1:25" ht="6" customHeight="1" thickBot="1" x14ac:dyDescent="0.3">
      <c r="B26" s="9"/>
      <c r="C26" s="17"/>
      <c r="D26" s="17"/>
      <c r="E26" s="17"/>
      <c r="F26" s="9"/>
      <c r="G26" s="16"/>
      <c r="H26" s="22"/>
      <c r="J26" s="22"/>
      <c r="K26" s="22"/>
      <c r="L26" s="22"/>
      <c r="M26" s="22"/>
      <c r="N26" s="22"/>
      <c r="O26" s="22"/>
      <c r="P26" s="240"/>
      <c r="Q26" s="22"/>
      <c r="R26" s="22"/>
      <c r="S26" s="22"/>
      <c r="T26" s="8"/>
      <c r="U26" s="10"/>
      <c r="V26" s="1680"/>
      <c r="W26" s="1681"/>
      <c r="X26" s="1681"/>
      <c r="Y26" s="1682"/>
    </row>
    <row r="27" spans="1:25" ht="13.8" thickBot="1" x14ac:dyDescent="0.3">
      <c r="B27" s="9" t="s">
        <v>559</v>
      </c>
      <c r="C27" s="17"/>
      <c r="D27" s="17"/>
      <c r="E27" s="31">
        <f>SUM(H27:N27)</f>
        <v>0</v>
      </c>
      <c r="F27" s="9"/>
      <c r="G27" s="16"/>
      <c r="H27" s="2"/>
      <c r="J27" s="2"/>
      <c r="K27" s="22"/>
      <c r="L27" s="2"/>
      <c r="M27" s="22"/>
      <c r="N27" s="2"/>
      <c r="O27" s="22"/>
      <c r="P27" s="240"/>
      <c r="Q27" s="2"/>
      <c r="R27" s="22"/>
      <c r="S27" s="370">
        <f>H27-Q27</f>
        <v>0</v>
      </c>
      <c r="T27" s="8"/>
      <c r="U27" s="10"/>
      <c r="V27" s="1680"/>
      <c r="W27" s="1681"/>
      <c r="X27" s="1681"/>
      <c r="Y27" s="1682"/>
    </row>
    <row r="28" spans="1:25" ht="6" customHeight="1" thickBot="1" x14ac:dyDescent="0.3">
      <c r="B28" s="9"/>
      <c r="C28" s="17"/>
      <c r="D28" s="17"/>
      <c r="E28" s="17"/>
      <c r="F28" s="9"/>
      <c r="G28" s="16"/>
      <c r="H28" s="22"/>
      <c r="J28" s="22"/>
      <c r="K28" s="22"/>
      <c r="L28" s="22"/>
      <c r="M28" s="22"/>
      <c r="N28" s="22"/>
      <c r="O28" s="22"/>
      <c r="P28" s="240"/>
      <c r="Q28" s="22"/>
      <c r="R28" s="22"/>
      <c r="S28" s="22"/>
      <c r="T28" s="8"/>
      <c r="U28" s="10"/>
      <c r="V28" s="1683"/>
      <c r="W28" s="1684"/>
      <c r="X28" s="1684"/>
      <c r="Y28" s="1685"/>
    </row>
    <row r="29" spans="1:25" ht="13.8" thickBot="1" x14ac:dyDescent="0.3">
      <c r="B29" s="9" t="s">
        <v>91</v>
      </c>
      <c r="C29" s="17"/>
      <c r="D29" s="17"/>
      <c r="E29" s="31">
        <f>'Additional Prj Cost Information'!E16</f>
        <v>0</v>
      </c>
      <c r="F29" s="9"/>
      <c r="G29" s="16"/>
      <c r="H29" s="31">
        <f>'Additional Prj Cost Information'!E16-J29-L29-N29</f>
        <v>0</v>
      </c>
      <c r="J29" s="2"/>
      <c r="K29" s="22"/>
      <c r="L29" s="2"/>
      <c r="M29" s="22"/>
      <c r="N29" s="2"/>
      <c r="O29" s="22"/>
      <c r="P29" s="240"/>
      <c r="Q29" s="2"/>
      <c r="R29" s="22"/>
      <c r="S29" s="370">
        <f>H29-Q29</f>
        <v>0</v>
      </c>
      <c r="T29" s="8"/>
      <c r="U29" s="10"/>
      <c r="V29" s="390" t="s">
        <v>628</v>
      </c>
    </row>
    <row r="30" spans="1:25" ht="9" customHeight="1" x14ac:dyDescent="0.25">
      <c r="B30" s="9"/>
      <c r="C30" s="17"/>
      <c r="D30" s="17"/>
      <c r="E30" s="17"/>
      <c r="F30" s="9"/>
      <c r="G30" s="16"/>
      <c r="H30" s="22"/>
      <c r="J30" s="22"/>
      <c r="K30" s="22"/>
      <c r="L30" s="22"/>
      <c r="M30" s="22"/>
      <c r="N30" s="22"/>
      <c r="O30" s="22"/>
      <c r="P30" s="240"/>
      <c r="Q30" s="22"/>
      <c r="R30" s="22"/>
      <c r="S30" s="22"/>
      <c r="T30" s="8"/>
      <c r="U30" s="10"/>
    </row>
    <row r="31" spans="1:25" x14ac:dyDescent="0.25">
      <c r="A31" s="10"/>
      <c r="B31" s="26" t="s">
        <v>54</v>
      </c>
      <c r="E31" s="19">
        <f>(E13+E15+E17+E19+E21+E23+E25+E27+E29)</f>
        <v>0</v>
      </c>
      <c r="G31" s="14"/>
      <c r="H31" s="47"/>
      <c r="J31" s="47"/>
      <c r="K31" s="47"/>
      <c r="L31" s="47"/>
      <c r="M31" s="47"/>
      <c r="N31" s="47"/>
      <c r="O31" s="47"/>
      <c r="P31" s="241"/>
      <c r="Q31" s="47"/>
      <c r="R31" s="47"/>
      <c r="S31" s="47"/>
      <c r="T31" s="8"/>
      <c r="U31" s="10"/>
    </row>
    <row r="32" spans="1:25" x14ac:dyDescent="0.25">
      <c r="G32" s="14"/>
      <c r="H32" s="47"/>
      <c r="J32" s="47"/>
      <c r="K32" s="47"/>
      <c r="L32" s="47"/>
      <c r="M32" s="47"/>
      <c r="N32" s="47"/>
      <c r="O32" s="47"/>
      <c r="P32" s="241"/>
      <c r="Q32" s="47"/>
      <c r="R32" s="47"/>
      <c r="S32" s="47"/>
      <c r="T32" s="8"/>
      <c r="U32" s="10"/>
      <c r="V32" s="299"/>
    </row>
    <row r="33" spans="1:28" x14ac:dyDescent="0.25">
      <c r="A33" s="11">
        <v>9</v>
      </c>
      <c r="B33" s="26" t="s">
        <v>56</v>
      </c>
      <c r="G33" s="14"/>
      <c r="H33" s="47"/>
      <c r="J33" s="47"/>
      <c r="K33" s="47"/>
      <c r="L33" s="47"/>
      <c r="M33" s="47"/>
      <c r="N33" s="47"/>
      <c r="O33" s="47"/>
      <c r="P33" s="241"/>
      <c r="Q33" s="47"/>
      <c r="R33" s="47"/>
      <c r="S33" s="47"/>
      <c r="T33" s="8"/>
      <c r="U33" s="10"/>
    </row>
    <row r="34" spans="1:28" ht="38.1" customHeight="1" x14ac:dyDescent="0.25">
      <c r="A34" s="11"/>
      <c r="B34" s="1676" t="s">
        <v>634</v>
      </c>
      <c r="C34" s="1676"/>
      <c r="D34" s="1676"/>
      <c r="E34" s="1676"/>
      <c r="G34" s="14"/>
      <c r="H34" s="1687" t="str">
        <f>IF('Project Information'!L4="Yes","MaineHousing Construction Origination Fee is: ","")</f>
        <v/>
      </c>
      <c r="I34" s="1687"/>
      <c r="J34" s="1687"/>
      <c r="K34" s="1687"/>
      <c r="L34" s="1687"/>
      <c r="M34" s="1687"/>
      <c r="N34" s="1356" t="str">
        <f>IF('Project Information'!L4="Yes",ROUND('MH Underwriting'!T80*0.0175,),"")</f>
        <v/>
      </c>
      <c r="O34" s="47"/>
      <c r="P34" s="241"/>
      <c r="Q34" s="47"/>
      <c r="R34" s="47"/>
      <c r="S34" s="47"/>
      <c r="T34" s="8"/>
      <c r="U34" s="10"/>
      <c r="V34" s="1686"/>
      <c r="W34" s="1686"/>
      <c r="X34" s="1686"/>
      <c r="Y34" s="1686"/>
      <c r="AA34" s="1662"/>
      <c r="AB34" s="1662"/>
    </row>
    <row r="35" spans="1:28" hidden="1" x14ac:dyDescent="0.25">
      <c r="G35" s="14"/>
      <c r="H35" s="47"/>
      <c r="J35" s="47"/>
      <c r="K35" s="47"/>
      <c r="L35" s="47"/>
      <c r="M35" s="47"/>
      <c r="N35" s="47"/>
      <c r="O35" s="47"/>
      <c r="P35" s="241"/>
      <c r="Q35" s="47"/>
      <c r="R35" s="47"/>
      <c r="S35" s="47"/>
      <c r="T35" s="8"/>
      <c r="U35" s="10"/>
      <c r="V35" s="299"/>
      <c r="AA35" s="1661" t="str">
        <f>IF($V$34="","","Yes")</f>
        <v/>
      </c>
      <c r="AB35" s="1661"/>
    </row>
    <row r="36" spans="1:28" hidden="1" x14ac:dyDescent="0.25">
      <c r="G36" s="14"/>
      <c r="H36" s="47"/>
      <c r="J36" s="47"/>
      <c r="K36" s="47"/>
      <c r="L36" s="47"/>
      <c r="M36" s="47"/>
      <c r="N36" s="47"/>
      <c r="O36" s="47"/>
      <c r="P36" s="241"/>
      <c r="Q36" s="47"/>
      <c r="R36" s="47"/>
      <c r="S36" s="47"/>
      <c r="T36" s="8"/>
      <c r="U36" s="10"/>
      <c r="V36" s="299"/>
      <c r="AA36" s="1661" t="str">
        <f>IF($V$34="","","No")</f>
        <v/>
      </c>
      <c r="AB36" s="1661"/>
    </row>
    <row r="37" spans="1:28" ht="9" customHeight="1" thickBot="1" x14ac:dyDescent="0.3">
      <c r="G37" s="14"/>
      <c r="H37" s="47"/>
      <c r="J37" s="47"/>
      <c r="K37" s="47"/>
      <c r="L37" s="47"/>
      <c r="M37" s="47"/>
      <c r="N37" s="47"/>
      <c r="O37" s="47"/>
      <c r="P37" s="241"/>
      <c r="Q37" s="47"/>
      <c r="R37" s="47"/>
      <c r="S37" s="47"/>
      <c r="T37" s="8"/>
      <c r="U37" s="10"/>
    </row>
    <row r="38" spans="1:28" ht="13.8" thickBot="1" x14ac:dyDescent="0.3">
      <c r="B38" s="9" t="s">
        <v>114</v>
      </c>
      <c r="C38" s="9"/>
      <c r="D38" s="9"/>
      <c r="E38" s="31">
        <f>SUM(H38:N38)</f>
        <v>0</v>
      </c>
      <c r="F38" s="9"/>
      <c r="G38" s="16"/>
      <c r="H38" s="2"/>
      <c r="J38" s="2"/>
      <c r="K38" s="22"/>
      <c r="L38" s="2"/>
      <c r="M38" s="22"/>
      <c r="N38" s="2"/>
      <c r="O38" s="22"/>
      <c r="P38" s="240"/>
      <c r="Q38" s="2"/>
      <c r="R38" s="22"/>
      <c r="S38" s="370">
        <f>H38-Q38</f>
        <v>0</v>
      </c>
      <c r="T38" s="8"/>
      <c r="U38" s="10"/>
      <c r="V38" s="1642"/>
      <c r="W38" s="1643"/>
      <c r="X38" s="1643"/>
      <c r="Y38" s="1644"/>
    </row>
    <row r="39" spans="1:28" ht="6" customHeight="1" thickBot="1" x14ac:dyDescent="0.3">
      <c r="B39" s="9"/>
      <c r="C39" s="9"/>
      <c r="D39" s="9"/>
      <c r="E39" s="17"/>
      <c r="F39" s="9"/>
      <c r="G39" s="16"/>
      <c r="H39" s="22"/>
      <c r="J39" s="22"/>
      <c r="K39" s="22"/>
      <c r="L39" s="22"/>
      <c r="M39" s="22"/>
      <c r="N39" s="22"/>
      <c r="O39" s="22"/>
      <c r="P39" s="240"/>
      <c r="Q39" s="22"/>
      <c r="R39" s="22"/>
      <c r="S39" s="22"/>
      <c r="T39" s="8"/>
      <c r="U39" s="10"/>
      <c r="V39" s="1645"/>
      <c r="W39" s="1646"/>
      <c r="X39" s="1646"/>
      <c r="Y39" s="1647"/>
    </row>
    <row r="40" spans="1:28" ht="13.8" thickBot="1" x14ac:dyDescent="0.3">
      <c r="B40" s="9" t="s">
        <v>560</v>
      </c>
      <c r="C40" s="17"/>
      <c r="D40" s="17"/>
      <c r="E40" s="31">
        <f>SUM(H40:N40)</f>
        <v>0</v>
      </c>
      <c r="F40" s="9"/>
      <c r="G40" s="16"/>
      <c r="H40" s="2"/>
      <c r="J40" s="2"/>
      <c r="K40" s="22"/>
      <c r="L40" s="2"/>
      <c r="M40" s="22"/>
      <c r="N40" s="2"/>
      <c r="O40" s="22"/>
      <c r="P40" s="240"/>
      <c r="Q40" s="2"/>
      <c r="R40" s="22"/>
      <c r="S40" s="370">
        <f>H40-Q40</f>
        <v>0</v>
      </c>
      <c r="T40" s="8"/>
      <c r="U40" s="10"/>
      <c r="V40" s="1645"/>
      <c r="W40" s="1646"/>
      <c r="X40" s="1646"/>
      <c r="Y40" s="1647"/>
    </row>
    <row r="41" spans="1:28" ht="6" customHeight="1" thickBot="1" x14ac:dyDescent="0.3">
      <c r="B41" s="9"/>
      <c r="C41" s="17"/>
      <c r="D41" s="17"/>
      <c r="E41" s="17"/>
      <c r="F41" s="9"/>
      <c r="G41" s="16"/>
      <c r="H41" s="22"/>
      <c r="J41" s="22"/>
      <c r="K41" s="22"/>
      <c r="L41" s="22"/>
      <c r="M41" s="22"/>
      <c r="N41" s="22"/>
      <c r="O41" s="22"/>
      <c r="P41" s="240"/>
      <c r="Q41" s="22"/>
      <c r="R41" s="22"/>
      <c r="S41" s="22"/>
      <c r="T41" s="8"/>
      <c r="U41" s="10"/>
      <c r="V41" s="1645"/>
      <c r="W41" s="1646"/>
      <c r="X41" s="1646"/>
      <c r="Y41" s="1647"/>
    </row>
    <row r="42" spans="1:28" ht="13.8" thickBot="1" x14ac:dyDescent="0.3">
      <c r="B42" s="9" t="str">
        <f>IF('Project Information'!L4="Yes","   MaineHousing Loan Fees","   MaineHousing Permanent Loan Fees")</f>
        <v xml:space="preserve">   MaineHousing Permanent Loan Fees</v>
      </c>
      <c r="C42" s="17"/>
      <c r="D42" s="17"/>
      <c r="E42" s="31">
        <f>SUM(H42:N42)</f>
        <v>0</v>
      </c>
      <c r="F42" s="9"/>
      <c r="G42" s="16"/>
      <c r="H42" s="31"/>
      <c r="J42" s="31"/>
      <c r="K42" s="22"/>
      <c r="L42" s="31" t="str">
        <f>IF(Sources!C32+Sources!C39=0,"",ROUND(IF('Project Information'!L4="Yes",1000+2000,1000+2000+SUM(Sources!C39*0.02)),0))</f>
        <v/>
      </c>
      <c r="M42" s="22"/>
      <c r="N42" s="31"/>
      <c r="O42" s="22"/>
      <c r="P42" s="240"/>
      <c r="Q42" s="31"/>
      <c r="R42" s="22"/>
      <c r="S42" s="31">
        <f>IF(Sources!C32+Sources!C39=0,0,IF(AA38="Yes",'MH Underwriting'!W83*0.02,0))</f>
        <v>0</v>
      </c>
      <c r="T42" s="8"/>
      <c r="U42" s="10"/>
      <c r="V42" s="1645"/>
      <c r="W42" s="1646"/>
      <c r="X42" s="1646"/>
      <c r="Y42" s="1647"/>
    </row>
    <row r="43" spans="1:28" ht="6" customHeight="1" thickBot="1" x14ac:dyDescent="0.3">
      <c r="B43" s="9"/>
      <c r="C43" s="9"/>
      <c r="D43" s="9"/>
      <c r="E43" s="17"/>
      <c r="F43" s="9"/>
      <c r="G43" s="16"/>
      <c r="H43" s="22"/>
      <c r="J43" s="22"/>
      <c r="K43" s="22"/>
      <c r="L43" s="22"/>
      <c r="M43" s="22"/>
      <c r="N43" s="22"/>
      <c r="O43" s="22"/>
      <c r="P43" s="240"/>
      <c r="Q43" s="22"/>
      <c r="R43" s="22"/>
      <c r="S43" s="22"/>
      <c r="T43" s="8"/>
      <c r="U43" s="10"/>
      <c r="V43" s="1645"/>
      <c r="W43" s="1646"/>
      <c r="X43" s="1646"/>
      <c r="Y43" s="1647"/>
    </row>
    <row r="44" spans="1:28" ht="13.8" thickBot="1" x14ac:dyDescent="0.3">
      <c r="B44" s="9" t="s">
        <v>598</v>
      </c>
      <c r="C44" s="17"/>
      <c r="D44" s="17"/>
      <c r="E44" s="31">
        <f>SUM(H44:N44)</f>
        <v>0</v>
      </c>
      <c r="F44" s="9"/>
      <c r="G44" s="16"/>
      <c r="H44" s="31"/>
      <c r="J44" s="31"/>
      <c r="K44" s="22"/>
      <c r="L44" s="2"/>
      <c r="M44" s="22"/>
      <c r="N44" s="31"/>
      <c r="O44" s="22"/>
      <c r="P44" s="240"/>
      <c r="Q44" s="31"/>
      <c r="R44" s="22"/>
      <c r="S44" s="31">
        <v>0</v>
      </c>
      <c r="T44" s="8"/>
      <c r="U44" s="10"/>
      <c r="V44" s="1645"/>
      <c r="W44" s="1646"/>
      <c r="X44" s="1646"/>
      <c r="Y44" s="1647"/>
    </row>
    <row r="45" spans="1:28" ht="6" customHeight="1" thickBot="1" x14ac:dyDescent="0.3">
      <c r="B45" s="9"/>
      <c r="C45" s="17"/>
      <c r="D45" s="17"/>
      <c r="E45" s="17"/>
      <c r="F45" s="9"/>
      <c r="G45" s="16"/>
      <c r="H45" s="22"/>
      <c r="J45" s="22"/>
      <c r="K45" s="22"/>
      <c r="L45" s="22"/>
      <c r="M45" s="22"/>
      <c r="N45" s="22"/>
      <c r="O45" s="22"/>
      <c r="P45" s="240"/>
      <c r="Q45" s="22"/>
      <c r="R45" s="22"/>
      <c r="S45" s="22"/>
      <c r="T45" s="8"/>
      <c r="U45" s="10"/>
      <c r="V45" s="1648"/>
      <c r="W45" s="1649"/>
      <c r="X45" s="1649"/>
      <c r="Y45" s="1650"/>
    </row>
    <row r="46" spans="1:28" ht="13.8" thickBot="1" x14ac:dyDescent="0.3">
      <c r="B46" s="9" t="s">
        <v>91</v>
      </c>
      <c r="C46" s="17"/>
      <c r="D46" s="17"/>
      <c r="E46" s="31">
        <f>'Additional Prj Cost Information'!E30</f>
        <v>0</v>
      </c>
      <c r="F46" s="9"/>
      <c r="G46" s="16"/>
      <c r="H46" s="31">
        <f>'Additional Prj Cost Information'!E30-J46-L46-N46</f>
        <v>0</v>
      </c>
      <c r="J46" s="2"/>
      <c r="K46" s="22"/>
      <c r="L46" s="2"/>
      <c r="M46" s="22"/>
      <c r="N46" s="2"/>
      <c r="O46" s="22"/>
      <c r="P46" s="240"/>
      <c r="Q46" s="2"/>
      <c r="R46" s="22"/>
      <c r="S46" s="370">
        <f>H46-Q46</f>
        <v>0</v>
      </c>
      <c r="T46" s="8"/>
      <c r="U46" s="10"/>
      <c r="V46" s="390" t="s">
        <v>628</v>
      </c>
    </row>
    <row r="47" spans="1:28" ht="9" customHeight="1" x14ac:dyDescent="0.25">
      <c r="B47" s="9"/>
      <c r="C47" s="17"/>
      <c r="D47" s="17"/>
      <c r="E47" s="17"/>
      <c r="F47" s="9"/>
      <c r="G47" s="16"/>
      <c r="H47" s="22"/>
      <c r="J47" s="22"/>
      <c r="K47" s="22"/>
      <c r="L47" s="22"/>
      <c r="M47" s="22"/>
      <c r="N47" s="22"/>
      <c r="O47" s="22"/>
      <c r="P47" s="240"/>
      <c r="Q47" s="22"/>
      <c r="R47" s="22"/>
      <c r="S47" s="22"/>
      <c r="T47" s="8"/>
      <c r="U47" s="10"/>
    </row>
    <row r="48" spans="1:28" x14ac:dyDescent="0.25">
      <c r="A48" s="10"/>
      <c r="B48" s="26" t="s">
        <v>57</v>
      </c>
      <c r="E48" s="19">
        <f>(E38+E40+E42+E44+E46)</f>
        <v>0</v>
      </c>
      <c r="G48" s="14"/>
      <c r="H48" s="47"/>
      <c r="J48" s="47"/>
      <c r="K48" s="47"/>
      <c r="L48" s="47"/>
      <c r="M48" s="47"/>
      <c r="N48" s="47"/>
      <c r="O48" s="47"/>
      <c r="P48" s="241"/>
      <c r="Q48" s="47"/>
      <c r="R48" s="47"/>
      <c r="S48" s="47"/>
      <c r="T48" s="8"/>
      <c r="U48" s="10"/>
    </row>
    <row r="49" spans="1:25" x14ac:dyDescent="0.25">
      <c r="G49" s="14"/>
      <c r="H49" s="47"/>
      <c r="J49" s="47"/>
      <c r="K49" s="47"/>
      <c r="L49" s="47"/>
      <c r="M49" s="47"/>
      <c r="N49" s="47"/>
      <c r="O49" s="47"/>
      <c r="P49" s="241"/>
      <c r="Q49" s="47"/>
      <c r="R49" s="47"/>
      <c r="S49" s="47"/>
      <c r="T49" s="8"/>
      <c r="U49" s="10"/>
    </row>
    <row r="50" spans="1:25" x14ac:dyDescent="0.25">
      <c r="A50" s="11">
        <v>10</v>
      </c>
      <c r="B50" s="26" t="s">
        <v>58</v>
      </c>
      <c r="G50" s="14"/>
      <c r="H50" s="47"/>
      <c r="J50" s="47"/>
      <c r="K50" s="47"/>
      <c r="L50" s="47"/>
      <c r="M50" s="47"/>
      <c r="N50" s="47"/>
      <c r="O50" s="47"/>
      <c r="P50" s="241"/>
      <c r="Q50" s="47"/>
      <c r="R50" s="47"/>
      <c r="S50" s="47"/>
      <c r="T50" s="8"/>
      <c r="U50" s="10"/>
    </row>
    <row r="51" spans="1:25" ht="38.1" customHeight="1" x14ac:dyDescent="0.25">
      <c r="A51" s="11"/>
      <c r="B51" s="1676" t="s">
        <v>633</v>
      </c>
      <c r="C51" s="1676"/>
      <c r="D51" s="1676"/>
      <c r="E51" s="1676"/>
      <c r="G51" s="14"/>
      <c r="H51" s="47"/>
      <c r="J51" s="47"/>
      <c r="K51" s="47"/>
      <c r="L51" s="47"/>
      <c r="M51" s="47"/>
      <c r="N51" s="47"/>
      <c r="O51" s="47"/>
      <c r="P51" s="241"/>
      <c r="Q51" s="47"/>
      <c r="R51" s="47"/>
      <c r="S51" s="47"/>
      <c r="T51" s="8"/>
      <c r="U51" s="10"/>
    </row>
    <row r="52" spans="1:25" ht="9" customHeight="1" thickBot="1" x14ac:dyDescent="0.3">
      <c r="G52" s="14"/>
      <c r="H52" s="47"/>
      <c r="J52" s="47"/>
      <c r="K52" s="47"/>
      <c r="L52" s="47"/>
      <c r="M52" s="47"/>
      <c r="N52" s="47"/>
      <c r="O52" s="47"/>
      <c r="P52" s="241"/>
      <c r="Q52" s="47"/>
      <c r="R52" s="47"/>
      <c r="S52" s="47"/>
      <c r="T52" s="8"/>
      <c r="U52" s="10"/>
    </row>
    <row r="53" spans="1:25" ht="13.8" thickBot="1" x14ac:dyDescent="0.3">
      <c r="B53" s="9" t="s">
        <v>115</v>
      </c>
      <c r="C53" s="17"/>
      <c r="D53" s="17"/>
      <c r="E53" s="31">
        <f>SUM(H53:N53)</f>
        <v>0</v>
      </c>
      <c r="F53" s="9"/>
      <c r="G53" s="16"/>
      <c r="H53" s="2"/>
      <c r="J53" s="2"/>
      <c r="K53" s="22"/>
      <c r="L53" s="2"/>
      <c r="M53" s="22"/>
      <c r="N53" s="2"/>
      <c r="O53" s="22"/>
      <c r="P53" s="240"/>
      <c r="Q53" s="2"/>
      <c r="R53" s="22"/>
      <c r="S53" s="370">
        <f>H53-Q53</f>
        <v>0</v>
      </c>
      <c r="T53" s="8"/>
      <c r="U53" s="10"/>
      <c r="V53" s="1642"/>
      <c r="W53" s="1643"/>
      <c r="X53" s="1643"/>
      <c r="Y53" s="1644"/>
    </row>
    <row r="54" spans="1:25" ht="6" customHeight="1" thickBot="1" x14ac:dyDescent="0.3">
      <c r="B54" s="9"/>
      <c r="C54" s="17"/>
      <c r="D54" s="17"/>
      <c r="E54" s="17"/>
      <c r="F54" s="9"/>
      <c r="G54" s="16"/>
      <c r="H54" s="22"/>
      <c r="J54" s="22"/>
      <c r="K54" s="22"/>
      <c r="L54" s="22"/>
      <c r="M54" s="22"/>
      <c r="N54" s="22"/>
      <c r="O54" s="22"/>
      <c r="P54" s="240"/>
      <c r="Q54" s="22"/>
      <c r="R54" s="22"/>
      <c r="S54" s="22"/>
      <c r="T54" s="8"/>
      <c r="U54" s="10"/>
      <c r="V54" s="1645"/>
      <c r="W54" s="1646"/>
      <c r="X54" s="1646"/>
      <c r="Y54" s="1647"/>
    </row>
    <row r="55" spans="1:25" ht="13.8" thickBot="1" x14ac:dyDescent="0.3">
      <c r="B55" s="9" t="s">
        <v>116</v>
      </c>
      <c r="C55" s="17"/>
      <c r="D55" s="17"/>
      <c r="E55" s="31">
        <f>SUM(H55:N55)</f>
        <v>0</v>
      </c>
      <c r="F55" s="9"/>
      <c r="G55" s="16"/>
      <c r="H55" s="2"/>
      <c r="J55" s="2"/>
      <c r="K55" s="22"/>
      <c r="L55" s="2"/>
      <c r="M55" s="22"/>
      <c r="N55" s="2"/>
      <c r="O55" s="22"/>
      <c r="P55" s="240"/>
      <c r="Q55" s="2"/>
      <c r="R55" s="22"/>
      <c r="S55" s="370">
        <f>H55-Q55</f>
        <v>0</v>
      </c>
      <c r="T55" s="8"/>
      <c r="U55" s="10"/>
      <c r="V55" s="1645"/>
      <c r="W55" s="1646"/>
      <c r="X55" s="1646"/>
      <c r="Y55" s="1647"/>
    </row>
    <row r="56" spans="1:25" ht="6" customHeight="1" thickBot="1" x14ac:dyDescent="0.3">
      <c r="B56" s="9"/>
      <c r="C56" s="17"/>
      <c r="D56" s="17"/>
      <c r="E56" s="17"/>
      <c r="F56" s="9"/>
      <c r="G56" s="16"/>
      <c r="H56" s="22"/>
      <c r="J56" s="22"/>
      <c r="K56" s="22"/>
      <c r="L56" s="22"/>
      <c r="M56" s="22"/>
      <c r="N56" s="22"/>
      <c r="O56" s="22"/>
      <c r="P56" s="240"/>
      <c r="Q56" s="22"/>
      <c r="R56" s="22"/>
      <c r="S56" s="22"/>
      <c r="T56" s="8"/>
      <c r="U56" s="10"/>
      <c r="V56" s="1645"/>
      <c r="W56" s="1646"/>
      <c r="X56" s="1646"/>
      <c r="Y56" s="1647"/>
    </row>
    <row r="57" spans="1:25" ht="13.8" thickBot="1" x14ac:dyDescent="0.3">
      <c r="B57" s="9" t="s">
        <v>117</v>
      </c>
      <c r="C57" s="17"/>
      <c r="D57" s="17"/>
      <c r="E57" s="31">
        <f>SUM(H57:N57)</f>
        <v>0</v>
      </c>
      <c r="F57" s="9"/>
      <c r="G57" s="16"/>
      <c r="H57" s="2"/>
      <c r="J57" s="2"/>
      <c r="K57" s="22"/>
      <c r="L57" s="2"/>
      <c r="M57" s="22"/>
      <c r="N57" s="2"/>
      <c r="O57" s="22"/>
      <c r="P57" s="240"/>
      <c r="Q57" s="2"/>
      <c r="R57" s="22"/>
      <c r="S57" s="370">
        <f>H57-Q57</f>
        <v>0</v>
      </c>
      <c r="T57" s="8"/>
      <c r="U57" s="10"/>
      <c r="V57" s="1645"/>
      <c r="W57" s="1646"/>
      <c r="X57" s="1646"/>
      <c r="Y57" s="1647"/>
    </row>
    <row r="58" spans="1:25" ht="6" customHeight="1" thickBot="1" x14ac:dyDescent="0.3">
      <c r="B58" s="9"/>
      <c r="C58" s="17"/>
      <c r="D58" s="17"/>
      <c r="E58" s="17"/>
      <c r="F58" s="9"/>
      <c r="G58" s="16"/>
      <c r="H58" s="22"/>
      <c r="J58" s="22"/>
      <c r="K58" s="22"/>
      <c r="L58" s="22"/>
      <c r="M58" s="22"/>
      <c r="N58" s="22"/>
      <c r="O58" s="22"/>
      <c r="P58" s="240"/>
      <c r="Q58" s="22"/>
      <c r="R58" s="22"/>
      <c r="S58" s="22"/>
      <c r="T58" s="8"/>
      <c r="U58" s="10"/>
      <c r="V58" s="1645"/>
      <c r="W58" s="1646"/>
      <c r="X58" s="1646"/>
      <c r="Y58" s="1647"/>
    </row>
    <row r="59" spans="1:25" ht="12.75" customHeight="1" thickBot="1" x14ac:dyDescent="0.3">
      <c r="B59" s="9" t="s">
        <v>550</v>
      </c>
      <c r="C59" s="17"/>
      <c r="D59" s="17"/>
      <c r="E59" s="31">
        <f>SUM(H59:N59)</f>
        <v>0</v>
      </c>
      <c r="F59" s="9"/>
      <c r="G59" s="16"/>
      <c r="H59" s="31"/>
      <c r="J59" s="31"/>
      <c r="K59" s="22"/>
      <c r="L59" s="31" t="str">
        <f>IF('Project Income &amp; UA'!G57=0,"",ROUND(2000+2500+('Tax Credit Calculations'!Q40+'Tax Credit Calculations'!S40)*0.075+'Tax Credit Calculations'!W31*1000,0))</f>
        <v/>
      </c>
      <c r="M59" s="22"/>
      <c r="N59" s="31"/>
      <c r="O59" s="22"/>
      <c r="P59" s="240"/>
      <c r="Q59" s="31"/>
      <c r="R59" s="22"/>
      <c r="S59" s="31">
        <v>0</v>
      </c>
      <c r="T59" s="8"/>
      <c r="U59" s="10"/>
      <c r="V59" s="1645"/>
      <c r="W59" s="1646"/>
      <c r="X59" s="1646"/>
      <c r="Y59" s="1647"/>
    </row>
    <row r="60" spans="1:25" ht="6" customHeight="1" thickBot="1" x14ac:dyDescent="0.3">
      <c r="B60" s="9"/>
      <c r="C60" s="17"/>
      <c r="D60" s="17"/>
      <c r="E60" s="15"/>
      <c r="F60" s="9"/>
      <c r="G60" s="16"/>
      <c r="H60" s="15"/>
      <c r="J60" s="15"/>
      <c r="K60" s="22"/>
      <c r="L60" s="1116"/>
      <c r="M60" s="22"/>
      <c r="N60" s="15"/>
      <c r="O60" s="22"/>
      <c r="P60" s="240"/>
      <c r="Q60" s="15"/>
      <c r="R60" s="22"/>
      <c r="S60" s="15"/>
      <c r="T60" s="8"/>
      <c r="U60" s="10"/>
      <c r="V60" s="1645"/>
      <c r="W60" s="1646"/>
      <c r="X60" s="1646"/>
      <c r="Y60" s="1647"/>
    </row>
    <row r="61" spans="1:25" ht="12.75" customHeight="1" thickBot="1" x14ac:dyDescent="0.3">
      <c r="B61" s="9" t="s">
        <v>228</v>
      </c>
      <c r="C61" s="17"/>
      <c r="D61" s="17"/>
      <c r="E61" s="31">
        <f>SUM(H61:N61)</f>
        <v>0</v>
      </c>
      <c r="F61" s="9"/>
      <c r="G61" s="16"/>
      <c r="H61" s="2"/>
      <c r="J61" s="2"/>
      <c r="K61" s="22"/>
      <c r="L61" s="2"/>
      <c r="M61" s="22"/>
      <c r="N61" s="2"/>
      <c r="O61" s="22"/>
      <c r="P61" s="240"/>
      <c r="Q61" s="2"/>
      <c r="R61" s="22"/>
      <c r="S61" s="370">
        <f>H61-Q61</f>
        <v>0</v>
      </c>
      <c r="T61" s="8"/>
      <c r="U61" s="10"/>
      <c r="V61" s="1645"/>
      <c r="W61" s="1646"/>
      <c r="X61" s="1646"/>
      <c r="Y61" s="1647"/>
    </row>
    <row r="62" spans="1:25" ht="6" customHeight="1" thickBot="1" x14ac:dyDescent="0.3">
      <c r="B62" s="9"/>
      <c r="C62" s="17"/>
      <c r="D62" s="17"/>
      <c r="E62" s="15"/>
      <c r="F62" s="9"/>
      <c r="G62" s="16"/>
      <c r="H62" s="15"/>
      <c r="J62" s="15"/>
      <c r="K62" s="22"/>
      <c r="L62" s="15"/>
      <c r="M62" s="22"/>
      <c r="N62" s="15"/>
      <c r="O62" s="22"/>
      <c r="P62" s="240"/>
      <c r="Q62" s="15"/>
      <c r="R62" s="22"/>
      <c r="S62" s="15"/>
      <c r="T62" s="8"/>
      <c r="U62" s="10"/>
      <c r="V62" s="1645"/>
      <c r="W62" s="1646"/>
      <c r="X62" s="1646"/>
      <c r="Y62" s="1647"/>
    </row>
    <row r="63" spans="1:25" ht="12.75" customHeight="1" thickBot="1" x14ac:dyDescent="0.3">
      <c r="B63" s="9" t="s">
        <v>75</v>
      </c>
      <c r="C63" s="17"/>
      <c r="D63" s="17"/>
      <c r="E63" s="31">
        <f>SUM(H63:N63)</f>
        <v>0</v>
      </c>
      <c r="F63" s="9"/>
      <c r="G63" s="16"/>
      <c r="H63" s="2"/>
      <c r="J63" s="2"/>
      <c r="K63" s="22"/>
      <c r="L63" s="2"/>
      <c r="M63" s="22"/>
      <c r="N63" s="2"/>
      <c r="O63" s="22"/>
      <c r="P63" s="240"/>
      <c r="Q63" s="2"/>
      <c r="R63" s="22"/>
      <c r="S63" s="370">
        <f>H63-Q63</f>
        <v>0</v>
      </c>
      <c r="T63" s="8"/>
      <c r="U63" s="10"/>
      <c r="V63" s="1645"/>
      <c r="W63" s="1646"/>
      <c r="X63" s="1646"/>
      <c r="Y63" s="1647"/>
    </row>
    <row r="64" spans="1:25" ht="6" customHeight="1" thickBot="1" x14ac:dyDescent="0.3">
      <c r="B64" s="9"/>
      <c r="C64" s="17"/>
      <c r="D64" s="17"/>
      <c r="E64" s="15"/>
      <c r="F64" s="9"/>
      <c r="G64" s="16"/>
      <c r="H64" s="15"/>
      <c r="J64" s="15"/>
      <c r="K64" s="22"/>
      <c r="L64" s="15"/>
      <c r="M64" s="22"/>
      <c r="N64" s="15"/>
      <c r="O64" s="22"/>
      <c r="P64" s="240"/>
      <c r="Q64" s="15"/>
      <c r="R64" s="22"/>
      <c r="S64" s="15"/>
      <c r="T64" s="8"/>
      <c r="U64" s="10"/>
      <c r="V64" s="1648"/>
      <c r="W64" s="1649"/>
      <c r="X64" s="1649"/>
      <c r="Y64" s="1650"/>
    </row>
    <row r="65" spans="1:25" ht="12.75" customHeight="1" thickBot="1" x14ac:dyDescent="0.3">
      <c r="B65" s="9" t="s">
        <v>91</v>
      </c>
      <c r="C65" s="17"/>
      <c r="D65" s="17"/>
      <c r="E65" s="31">
        <f>'Additional Prj Cost Information'!E44</f>
        <v>0</v>
      </c>
      <c r="F65" s="9"/>
      <c r="G65" s="16"/>
      <c r="H65" s="31">
        <f>'Additional Prj Cost Information'!E44-J65-L65-N65</f>
        <v>0</v>
      </c>
      <c r="J65" s="2"/>
      <c r="K65" s="22"/>
      <c r="L65" s="2"/>
      <c r="M65" s="22"/>
      <c r="N65" s="2"/>
      <c r="O65" s="22"/>
      <c r="P65" s="240"/>
      <c r="Q65" s="2"/>
      <c r="R65" s="22"/>
      <c r="S65" s="370">
        <f>H65-Q65</f>
        <v>0</v>
      </c>
      <c r="T65" s="8"/>
      <c r="U65" s="10"/>
      <c r="V65" s="390" t="s">
        <v>628</v>
      </c>
    </row>
    <row r="66" spans="1:25" ht="9" customHeight="1" x14ac:dyDescent="0.25">
      <c r="B66" s="9"/>
      <c r="E66" s="17"/>
      <c r="F66" s="9"/>
      <c r="G66" s="16"/>
      <c r="H66" s="22"/>
      <c r="J66" s="22"/>
      <c r="K66" s="22"/>
      <c r="L66" s="22"/>
      <c r="M66" s="22"/>
      <c r="N66" s="22"/>
      <c r="O66" s="22"/>
      <c r="P66" s="240"/>
      <c r="Q66" s="22"/>
      <c r="R66" s="22"/>
      <c r="S66" s="22"/>
      <c r="T66" s="8"/>
      <c r="U66" s="10"/>
    </row>
    <row r="67" spans="1:25" ht="12" customHeight="1" x14ac:dyDescent="0.25">
      <c r="A67" s="10"/>
      <c r="B67" s="29" t="s">
        <v>231</v>
      </c>
      <c r="E67" s="19">
        <f>E53+E55+E57+E59+E61+E63+E65</f>
        <v>0</v>
      </c>
      <c r="G67" s="14"/>
      <c r="H67" s="47"/>
      <c r="J67" s="47"/>
      <c r="K67" s="47"/>
      <c r="L67" s="47"/>
      <c r="M67" s="47"/>
      <c r="N67" s="47"/>
      <c r="O67" s="47"/>
      <c r="P67" s="241"/>
      <c r="Q67" s="47"/>
      <c r="R67" s="47"/>
      <c r="S67" s="47"/>
      <c r="T67" s="8"/>
      <c r="U67" s="10"/>
    </row>
    <row r="68" spans="1:25" x14ac:dyDescent="0.25">
      <c r="A68" s="10"/>
      <c r="B68" s="29"/>
      <c r="E68" s="30"/>
      <c r="G68" s="14"/>
      <c r="H68" s="47"/>
      <c r="J68" s="47"/>
      <c r="K68" s="47"/>
      <c r="L68" s="47"/>
      <c r="M68" s="47"/>
      <c r="N68" s="47"/>
      <c r="O68" s="47"/>
      <c r="P68" s="241"/>
      <c r="Q68" s="47"/>
      <c r="R68" s="47"/>
      <c r="S68" s="47"/>
      <c r="T68" s="8"/>
      <c r="U68" s="10"/>
    </row>
    <row r="69" spans="1:25" x14ac:dyDescent="0.25">
      <c r="A69" s="10"/>
      <c r="B69" s="29"/>
      <c r="E69" s="30"/>
      <c r="G69" s="14"/>
      <c r="H69" s="47"/>
      <c r="J69" s="47"/>
      <c r="K69" s="47"/>
      <c r="L69" s="47"/>
      <c r="M69" s="47"/>
      <c r="N69" s="47"/>
      <c r="O69" s="47"/>
      <c r="P69" s="241"/>
      <c r="Q69" s="47"/>
      <c r="R69" s="47"/>
      <c r="S69" s="47"/>
      <c r="T69" s="8"/>
      <c r="U69" s="10"/>
    </row>
    <row r="70" spans="1:25" x14ac:dyDescent="0.25">
      <c r="A70" s="11">
        <v>11</v>
      </c>
      <c r="B70" s="26" t="s">
        <v>60</v>
      </c>
      <c r="G70" s="14"/>
      <c r="H70" s="47"/>
      <c r="J70" s="47"/>
      <c r="K70" s="47"/>
      <c r="L70" s="47"/>
      <c r="M70" s="47"/>
      <c r="N70" s="47"/>
      <c r="O70" s="47"/>
      <c r="P70" s="241"/>
      <c r="Q70" s="47"/>
      <c r="R70" s="47"/>
      <c r="S70" s="47"/>
      <c r="T70" s="8"/>
      <c r="U70" s="10"/>
    </row>
    <row r="71" spans="1:25" ht="90" customHeight="1" x14ac:dyDescent="0.25">
      <c r="A71" s="11"/>
      <c r="B71" s="1676" t="s">
        <v>674</v>
      </c>
      <c r="C71" s="1676"/>
      <c r="D71" s="1676"/>
      <c r="E71" s="1676"/>
      <c r="G71" s="14"/>
      <c r="H71" s="47"/>
      <c r="J71" s="47"/>
      <c r="K71" s="47"/>
      <c r="L71" s="47"/>
      <c r="M71" s="47"/>
      <c r="N71" s="47"/>
      <c r="O71" s="47"/>
      <c r="P71" s="241"/>
      <c r="Q71" s="47"/>
      <c r="R71" s="47"/>
      <c r="S71" s="47"/>
      <c r="T71" s="8"/>
      <c r="U71" s="10"/>
    </row>
    <row r="72" spans="1:25" ht="9" customHeight="1" thickBot="1" x14ac:dyDescent="0.3">
      <c r="G72" s="14"/>
      <c r="H72" s="47"/>
      <c r="J72" s="47"/>
      <c r="K72" s="47"/>
      <c r="L72" s="47"/>
      <c r="M72" s="47"/>
      <c r="N72" s="47"/>
      <c r="O72" s="47"/>
      <c r="P72" s="241"/>
      <c r="Q72" s="47"/>
      <c r="R72" s="47"/>
      <c r="S72" s="47"/>
      <c r="T72" s="8"/>
      <c r="U72" s="10"/>
    </row>
    <row r="73" spans="1:25" ht="13.8" thickBot="1" x14ac:dyDescent="0.3">
      <c r="B73" s="9" t="s">
        <v>119</v>
      </c>
      <c r="E73" s="31">
        <f>SUM(H73:N73)</f>
        <v>0</v>
      </c>
      <c r="F73" s="9"/>
      <c r="G73" s="16"/>
      <c r="H73" s="2"/>
      <c r="J73" s="2"/>
      <c r="K73" s="22"/>
      <c r="L73" s="2"/>
      <c r="M73" s="22"/>
      <c r="N73" s="2"/>
      <c r="O73" s="22"/>
      <c r="P73" s="240"/>
      <c r="Q73" s="370">
        <f>H73</f>
        <v>0</v>
      </c>
      <c r="R73" s="22"/>
      <c r="S73" s="31"/>
      <c r="T73" s="8"/>
      <c r="U73" s="10"/>
      <c r="V73" s="1642"/>
      <c r="W73" s="1643"/>
      <c r="X73" s="1643"/>
      <c r="Y73" s="1644"/>
    </row>
    <row r="74" spans="1:25" ht="6" customHeight="1" thickBot="1" x14ac:dyDescent="0.3">
      <c r="B74" s="9"/>
      <c r="E74" s="17"/>
      <c r="F74" s="9"/>
      <c r="G74" s="16"/>
      <c r="H74" s="22"/>
      <c r="J74" s="22"/>
      <c r="K74" s="22"/>
      <c r="L74" s="22"/>
      <c r="M74" s="22"/>
      <c r="N74" s="22"/>
      <c r="O74" s="22"/>
      <c r="P74" s="240"/>
      <c r="Q74" s="22"/>
      <c r="R74" s="22"/>
      <c r="S74" s="22"/>
      <c r="T74" s="8"/>
      <c r="U74" s="10"/>
      <c r="V74" s="1645"/>
      <c r="W74" s="1646"/>
      <c r="X74" s="1646"/>
      <c r="Y74" s="1647"/>
    </row>
    <row r="75" spans="1:25" ht="13.8" thickBot="1" x14ac:dyDescent="0.3">
      <c r="B75" s="9" t="s">
        <v>120</v>
      </c>
      <c r="E75" s="31">
        <f>SUM(H75:N75)</f>
        <v>0</v>
      </c>
      <c r="F75" s="9"/>
      <c r="G75" s="16"/>
      <c r="H75" s="31"/>
      <c r="J75" s="31"/>
      <c r="K75" s="22"/>
      <c r="L75" s="31"/>
      <c r="M75" s="22"/>
      <c r="N75" s="2"/>
      <c r="O75" s="22"/>
      <c r="P75" s="240"/>
      <c r="Q75" s="31"/>
      <c r="R75" s="22"/>
      <c r="S75" s="31"/>
      <c r="T75" s="8"/>
      <c r="U75" s="10"/>
      <c r="V75" s="1645"/>
      <c r="W75" s="1646"/>
      <c r="X75" s="1646"/>
      <c r="Y75" s="1647"/>
    </row>
    <row r="76" spans="1:25" ht="6" customHeight="1" thickBot="1" x14ac:dyDescent="0.3">
      <c r="B76" s="9"/>
      <c r="E76" s="17"/>
      <c r="F76" s="9"/>
      <c r="G76" s="16"/>
      <c r="H76" s="22"/>
      <c r="J76" s="22"/>
      <c r="K76" s="22"/>
      <c r="L76" s="22"/>
      <c r="M76" s="22"/>
      <c r="N76" s="22"/>
      <c r="O76" s="22"/>
      <c r="P76" s="240"/>
      <c r="Q76" s="22"/>
      <c r="R76" s="22"/>
      <c r="S76" s="22"/>
      <c r="T76" s="8"/>
      <c r="U76" s="10"/>
      <c r="V76" s="1645"/>
      <c r="W76" s="1646"/>
      <c r="X76" s="1646"/>
      <c r="Y76" s="1647"/>
    </row>
    <row r="77" spans="1:25" ht="13.8" thickBot="1" x14ac:dyDescent="0.3">
      <c r="B77" s="9" t="s">
        <v>236</v>
      </c>
      <c r="E77" s="31">
        <f>SUM(H77:N77)</f>
        <v>0</v>
      </c>
      <c r="F77" s="9"/>
      <c r="G77" s="16"/>
      <c r="H77" s="31"/>
      <c r="J77" s="31"/>
      <c r="K77" s="22"/>
      <c r="L77" s="31"/>
      <c r="M77" s="22"/>
      <c r="N77" s="2"/>
      <c r="O77" s="22"/>
      <c r="P77" s="240"/>
      <c r="Q77" s="31"/>
      <c r="R77" s="22"/>
      <c r="S77" s="31"/>
      <c r="T77" s="8"/>
      <c r="U77" s="10"/>
      <c r="V77" s="1645"/>
      <c r="W77" s="1646"/>
      <c r="X77" s="1646"/>
      <c r="Y77" s="1647"/>
    </row>
    <row r="78" spans="1:25" ht="6" customHeight="1" thickBot="1" x14ac:dyDescent="0.3">
      <c r="B78" s="9"/>
      <c r="E78" s="17"/>
      <c r="F78" s="9"/>
      <c r="G78" s="16"/>
      <c r="H78" s="22"/>
      <c r="J78" s="22"/>
      <c r="K78" s="22"/>
      <c r="L78" s="22"/>
      <c r="M78" s="22"/>
      <c r="N78" s="22"/>
      <c r="O78" s="22"/>
      <c r="P78" s="240"/>
      <c r="Q78" s="22"/>
      <c r="R78" s="22"/>
      <c r="S78" s="22"/>
      <c r="T78" s="8"/>
      <c r="U78" s="10"/>
      <c r="V78" s="1645"/>
      <c r="W78" s="1646"/>
      <c r="X78" s="1646"/>
      <c r="Y78" s="1647"/>
    </row>
    <row r="79" spans="1:25" ht="13.8" thickBot="1" x14ac:dyDescent="0.3">
      <c r="B79" s="9" t="s">
        <v>235</v>
      </c>
      <c r="E79" s="31">
        <f>SUM(H79:N79)</f>
        <v>0</v>
      </c>
      <c r="F79" s="9"/>
      <c r="G79" s="16"/>
      <c r="H79" s="2"/>
      <c r="J79" s="2"/>
      <c r="K79" s="22"/>
      <c r="L79" s="2"/>
      <c r="M79" s="22"/>
      <c r="N79" s="2"/>
      <c r="O79" s="22"/>
      <c r="P79" s="240"/>
      <c r="Q79" s="370">
        <f>H79</f>
        <v>0</v>
      </c>
      <c r="R79" s="22"/>
      <c r="S79" s="31"/>
      <c r="T79" s="8"/>
      <c r="U79" s="10"/>
      <c r="V79" s="1648"/>
      <c r="W79" s="1649"/>
      <c r="X79" s="1649"/>
      <c r="Y79" s="1650"/>
    </row>
    <row r="80" spans="1:25" ht="6" customHeight="1" thickBot="1" x14ac:dyDescent="0.3">
      <c r="B80" s="9"/>
      <c r="E80" s="17"/>
      <c r="F80" s="9"/>
      <c r="G80" s="16"/>
      <c r="H80" s="22"/>
      <c r="J80" s="22"/>
      <c r="K80" s="22"/>
      <c r="L80" s="22"/>
      <c r="M80" s="22"/>
      <c r="N80" s="22"/>
      <c r="O80" s="22"/>
      <c r="P80" s="240"/>
      <c r="Q80" s="22"/>
      <c r="R80" s="22"/>
      <c r="S80" s="22"/>
      <c r="T80" s="8"/>
      <c r="U80" s="10"/>
      <c r="V80" s="298"/>
      <c r="W80" s="298"/>
      <c r="X80" s="298"/>
      <c r="Y80" s="298"/>
    </row>
    <row r="81" spans="1:25" ht="13.8" thickBot="1" x14ac:dyDescent="0.3">
      <c r="B81" s="9" t="s">
        <v>91</v>
      </c>
      <c r="E81" s="31">
        <f>SUM(H81:N81)</f>
        <v>0</v>
      </c>
      <c r="F81" s="9"/>
      <c r="G81" s="16"/>
      <c r="H81" s="31">
        <f>'Additional Prj Cost Information'!E58-J81-L81-N81</f>
        <v>0</v>
      </c>
      <c r="J81" s="2"/>
      <c r="K81" s="22"/>
      <c r="L81" s="2"/>
      <c r="M81" s="22"/>
      <c r="N81" s="2"/>
      <c r="O81" s="22"/>
      <c r="P81" s="240"/>
      <c r="Q81" s="370">
        <f>H81</f>
        <v>0</v>
      </c>
      <c r="R81" s="22"/>
      <c r="S81" s="31"/>
      <c r="T81" s="8"/>
      <c r="U81" s="10"/>
      <c r="V81" s="390" t="s">
        <v>628</v>
      </c>
    </row>
    <row r="82" spans="1:25" ht="9" customHeight="1" x14ac:dyDescent="0.25">
      <c r="B82" s="9"/>
      <c r="E82" s="17"/>
      <c r="F82" s="9"/>
      <c r="G82" s="16"/>
      <c r="H82" s="22"/>
      <c r="J82" s="22"/>
      <c r="K82" s="22"/>
      <c r="L82" s="22"/>
      <c r="M82" s="22"/>
      <c r="N82" s="22"/>
      <c r="O82" s="22"/>
      <c r="P82" s="240"/>
      <c r="Q82" s="22"/>
      <c r="R82" s="22"/>
      <c r="S82" s="22"/>
      <c r="T82" s="8"/>
      <c r="U82" s="10"/>
    </row>
    <row r="83" spans="1:25" x14ac:dyDescent="0.25">
      <c r="A83" s="10"/>
      <c r="B83" s="26" t="s">
        <v>59</v>
      </c>
      <c r="E83" s="19">
        <f>(E73+E75+E77+E79+E81)</f>
        <v>0</v>
      </c>
      <c r="G83" s="14"/>
      <c r="H83" s="47"/>
      <c r="J83" s="47"/>
      <c r="K83" s="47"/>
      <c r="L83" s="47"/>
      <c r="M83" s="47"/>
      <c r="N83" s="47"/>
      <c r="O83" s="47"/>
      <c r="P83" s="241"/>
      <c r="Q83" s="47"/>
      <c r="R83" s="47"/>
      <c r="S83" s="47"/>
      <c r="T83" s="8"/>
      <c r="U83" s="10"/>
    </row>
    <row r="84" spans="1:25" x14ac:dyDescent="0.25">
      <c r="G84" s="14"/>
      <c r="H84" s="47"/>
      <c r="J84" s="47"/>
      <c r="K84" s="47"/>
      <c r="L84" s="47"/>
      <c r="M84" s="47"/>
      <c r="N84" s="47"/>
      <c r="O84" s="47"/>
      <c r="P84" s="241"/>
      <c r="Q84" s="47"/>
      <c r="R84" s="47"/>
      <c r="S84" s="47"/>
      <c r="T84" s="8"/>
      <c r="U84" s="10"/>
    </row>
    <row r="85" spans="1:25" x14ac:dyDescent="0.25">
      <c r="A85" s="11">
        <v>12</v>
      </c>
      <c r="B85" s="26" t="s">
        <v>61</v>
      </c>
      <c r="G85" s="14"/>
      <c r="H85" s="47"/>
      <c r="J85" s="47"/>
      <c r="K85" s="47"/>
      <c r="L85" s="47"/>
      <c r="M85" s="47"/>
      <c r="N85" s="47"/>
      <c r="O85" s="47"/>
      <c r="P85" s="241"/>
      <c r="Q85" s="47"/>
      <c r="R85" s="47"/>
      <c r="S85" s="47"/>
      <c r="T85" s="8"/>
      <c r="U85" s="10"/>
    </row>
    <row r="86" spans="1:25" ht="51.9" customHeight="1" x14ac:dyDescent="0.25">
      <c r="A86" s="11"/>
      <c r="B86" s="1676" t="s">
        <v>657</v>
      </c>
      <c r="C86" s="1676"/>
      <c r="D86" s="1676"/>
      <c r="E86" s="1676"/>
      <c r="G86" s="14"/>
      <c r="H86" s="47"/>
      <c r="J86" s="47"/>
      <c r="K86" s="47"/>
      <c r="L86" s="47"/>
      <c r="M86" s="47"/>
      <c r="N86" s="47"/>
      <c r="O86" s="47"/>
      <c r="P86" s="241"/>
      <c r="Q86" s="47"/>
      <c r="R86" s="47"/>
      <c r="S86" s="47"/>
      <c r="T86" s="8"/>
      <c r="U86" s="10"/>
    </row>
    <row r="87" spans="1:25" ht="9" customHeight="1" thickBot="1" x14ac:dyDescent="0.3">
      <c r="G87" s="14"/>
      <c r="H87" s="47"/>
      <c r="J87" s="47"/>
      <c r="K87" s="47"/>
      <c r="L87" s="47"/>
      <c r="M87" s="47"/>
      <c r="N87" s="47"/>
      <c r="O87" s="47"/>
      <c r="P87" s="241"/>
      <c r="Q87" s="47"/>
      <c r="R87" s="47"/>
      <c r="S87" s="47"/>
      <c r="T87" s="8"/>
      <c r="U87" s="10"/>
    </row>
    <row r="88" spans="1:25" ht="13.8" thickBot="1" x14ac:dyDescent="0.3">
      <c r="B88" s="9" t="s">
        <v>76</v>
      </c>
      <c r="E88" s="31">
        <f>SUM(H88:N88)</f>
        <v>0</v>
      </c>
      <c r="F88" s="9"/>
      <c r="G88" s="16"/>
      <c r="H88" s="31"/>
      <c r="J88" s="31"/>
      <c r="K88" s="22"/>
      <c r="L88" s="31"/>
      <c r="M88" s="22"/>
      <c r="N88" s="2">
        <f>ROUND(('Operating Budget'!E100+Sources!F61)/2,0)</f>
        <v>0</v>
      </c>
      <c r="O88" s="22"/>
      <c r="P88" s="240"/>
      <c r="Q88" s="31"/>
      <c r="R88" s="22"/>
      <c r="S88" s="31"/>
      <c r="T88" s="8"/>
      <c r="U88" s="10"/>
      <c r="V88" s="1642"/>
      <c r="W88" s="1643"/>
      <c r="X88" s="1643"/>
      <c r="Y88" s="1644"/>
    </row>
    <row r="89" spans="1:25" ht="6" customHeight="1" thickBot="1" x14ac:dyDescent="0.3">
      <c r="B89" s="9"/>
      <c r="E89" s="15"/>
      <c r="F89" s="9"/>
      <c r="G89" s="16"/>
      <c r="H89" s="22"/>
      <c r="J89" s="22"/>
      <c r="K89" s="22"/>
      <c r="L89" s="22"/>
      <c r="M89" s="22"/>
      <c r="N89" s="15"/>
      <c r="O89" s="22"/>
      <c r="P89" s="240"/>
      <c r="Q89" s="22"/>
      <c r="R89" s="22"/>
      <c r="S89" s="22"/>
      <c r="T89" s="8"/>
      <c r="U89" s="10"/>
      <c r="V89" s="1645"/>
      <c r="W89" s="1646"/>
      <c r="X89" s="1646"/>
      <c r="Y89" s="1647"/>
    </row>
    <row r="90" spans="1:25" ht="13.8" thickBot="1" x14ac:dyDescent="0.3">
      <c r="B90" s="9" t="s">
        <v>78</v>
      </c>
      <c r="E90" s="31">
        <f>SUM(H90:N90)</f>
        <v>0</v>
      </c>
      <c r="F90" s="9"/>
      <c r="G90" s="16"/>
      <c r="H90" s="31"/>
      <c r="J90" s="31"/>
      <c r="K90" s="22"/>
      <c r="L90" s="31"/>
      <c r="M90" s="22"/>
      <c r="N90" s="2">
        <f>ROUND((E9-'Construction Costs'!E52-'Construction Costs'!E19+E73)*0.01,0)</f>
        <v>0</v>
      </c>
      <c r="O90" s="22"/>
      <c r="P90" s="240"/>
      <c r="Q90" s="31"/>
      <c r="R90" s="22"/>
      <c r="S90" s="31"/>
      <c r="T90" s="8"/>
      <c r="U90" s="10"/>
      <c r="V90" s="1645"/>
      <c r="W90" s="1646"/>
      <c r="X90" s="1646"/>
      <c r="Y90" s="1647"/>
    </row>
    <row r="91" spans="1:25" ht="6" customHeight="1" thickBot="1" x14ac:dyDescent="0.3">
      <c r="B91" s="9"/>
      <c r="E91" s="15"/>
      <c r="F91" s="9"/>
      <c r="G91" s="16"/>
      <c r="H91" s="22"/>
      <c r="J91" s="22"/>
      <c r="K91" s="22"/>
      <c r="L91" s="22"/>
      <c r="M91" s="22"/>
      <c r="N91" s="15"/>
      <c r="O91" s="22"/>
      <c r="P91" s="240"/>
      <c r="Q91" s="22"/>
      <c r="R91" s="22"/>
      <c r="S91" s="22"/>
      <c r="T91" s="8"/>
      <c r="U91" s="10"/>
      <c r="V91" s="1645"/>
      <c r="W91" s="1646"/>
      <c r="X91" s="1646"/>
      <c r="Y91" s="1647"/>
    </row>
    <row r="92" spans="1:25" ht="13.8" thickBot="1" x14ac:dyDescent="0.3">
      <c r="B92" s="9" t="s">
        <v>77</v>
      </c>
      <c r="E92" s="31">
        <f>SUM(H92:N92)</f>
        <v>0</v>
      </c>
      <c r="F92" s="9"/>
      <c r="G92" s="16"/>
      <c r="H92" s="31"/>
      <c r="J92" s="31"/>
      <c r="K92" s="22"/>
      <c r="L92" s="31"/>
      <c r="M92" s="22"/>
      <c r="N92" s="2">
        <f>ROUND('Operating Budget'!E86/2+'Operating Budget'!E88/6+'Operating Budget'!E88,0)</f>
        <v>0</v>
      </c>
      <c r="O92" s="22"/>
      <c r="P92" s="240"/>
      <c r="Q92" s="31"/>
      <c r="R92" s="22"/>
      <c r="S92" s="31"/>
      <c r="T92" s="8"/>
      <c r="U92" s="10"/>
      <c r="V92" s="1645"/>
      <c r="W92" s="1646"/>
      <c r="X92" s="1646"/>
      <c r="Y92" s="1647"/>
    </row>
    <row r="93" spans="1:25" ht="6" customHeight="1" thickBot="1" x14ac:dyDescent="0.3">
      <c r="B93" s="9"/>
      <c r="E93" s="15"/>
      <c r="F93" s="9"/>
      <c r="G93" s="16"/>
      <c r="H93" s="22"/>
      <c r="J93" s="22"/>
      <c r="K93" s="22"/>
      <c r="L93" s="22"/>
      <c r="M93" s="22"/>
      <c r="N93" s="15"/>
      <c r="O93" s="22"/>
      <c r="P93" s="240"/>
      <c r="Q93" s="22"/>
      <c r="R93" s="22"/>
      <c r="S93" s="22"/>
      <c r="T93" s="8"/>
      <c r="U93" s="10"/>
      <c r="V93" s="1645"/>
      <c r="W93" s="1646"/>
      <c r="X93" s="1646"/>
      <c r="Y93" s="1647"/>
    </row>
    <row r="94" spans="1:25" ht="13.8" thickBot="1" x14ac:dyDescent="0.3">
      <c r="B94" s="9" t="s">
        <v>229</v>
      </c>
      <c r="E94" s="31">
        <f>SUM(H94:N94)</f>
        <v>0</v>
      </c>
      <c r="F94" s="9"/>
      <c r="G94" s="16"/>
      <c r="H94" s="31"/>
      <c r="J94" s="31"/>
      <c r="K94" s="22"/>
      <c r="L94" s="31"/>
      <c r="M94" s="22"/>
      <c r="N94" s="2">
        <f>IF('Project Income &amp; UA'!G57&lt;50,'Project Income &amp; UA'!G57*1000,50000)</f>
        <v>0</v>
      </c>
      <c r="O94" s="22"/>
      <c r="P94" s="240"/>
      <c r="Q94" s="31"/>
      <c r="R94" s="22"/>
      <c r="S94" s="31"/>
      <c r="T94" s="8"/>
      <c r="U94" s="10"/>
      <c r="V94" s="1645"/>
      <c r="W94" s="1646"/>
      <c r="X94" s="1646"/>
      <c r="Y94" s="1647"/>
    </row>
    <row r="95" spans="1:25" ht="6" customHeight="1" thickBot="1" x14ac:dyDescent="0.3">
      <c r="B95" s="9"/>
      <c r="E95" s="15"/>
      <c r="F95" s="9"/>
      <c r="G95" s="16"/>
      <c r="H95" s="22"/>
      <c r="J95" s="22"/>
      <c r="K95" s="22"/>
      <c r="L95" s="22"/>
      <c r="M95" s="22"/>
      <c r="N95" s="22"/>
      <c r="O95" s="22"/>
      <c r="P95" s="240"/>
      <c r="Q95" s="22"/>
      <c r="R95" s="22"/>
      <c r="S95" s="22"/>
      <c r="T95" s="8"/>
      <c r="U95" s="10"/>
      <c r="V95" s="1648"/>
      <c r="W95" s="1649"/>
      <c r="X95" s="1649"/>
      <c r="Y95" s="1650"/>
    </row>
    <row r="96" spans="1:25" ht="13.8" thickBot="1" x14ac:dyDescent="0.3">
      <c r="B96" s="9" t="s">
        <v>91</v>
      </c>
      <c r="E96" s="31">
        <f>'Additional Prj Cost Information'!E71</f>
        <v>0</v>
      </c>
      <c r="F96" s="9"/>
      <c r="G96" s="16"/>
      <c r="H96" s="31"/>
      <c r="J96" s="31"/>
      <c r="K96" s="22"/>
      <c r="L96" s="31"/>
      <c r="M96" s="22"/>
      <c r="N96" s="31">
        <f>E96</f>
        <v>0</v>
      </c>
      <c r="O96" s="22"/>
      <c r="P96" s="240"/>
      <c r="Q96" s="31"/>
      <c r="R96" s="22"/>
      <c r="S96" s="31"/>
      <c r="T96" s="8"/>
      <c r="U96" s="10"/>
      <c r="V96" s="390" t="s">
        <v>628</v>
      </c>
    </row>
    <row r="97" spans="1:25" ht="9" customHeight="1" x14ac:dyDescent="0.25">
      <c r="B97" s="9"/>
      <c r="E97" s="17"/>
      <c r="F97" s="9"/>
      <c r="G97" s="16"/>
      <c r="H97" s="22"/>
      <c r="J97" s="22"/>
      <c r="K97" s="22"/>
      <c r="L97" s="22"/>
      <c r="M97" s="22"/>
      <c r="N97" s="22"/>
      <c r="O97" s="22"/>
      <c r="P97" s="240"/>
      <c r="Q97" s="22"/>
      <c r="R97" s="22"/>
      <c r="S97" s="22"/>
      <c r="T97" s="8"/>
      <c r="U97" s="10"/>
    </row>
    <row r="98" spans="1:25" x14ac:dyDescent="0.25">
      <c r="A98" s="10"/>
      <c r="B98" s="26" t="s">
        <v>62</v>
      </c>
      <c r="E98" s="19">
        <f>(E88+E90+E92+E94+E96)</f>
        <v>0</v>
      </c>
      <c r="G98" s="14"/>
      <c r="H98" s="47"/>
      <c r="J98" s="47"/>
      <c r="K98" s="47"/>
      <c r="L98" s="47"/>
      <c r="M98" s="47"/>
      <c r="N98" s="47"/>
      <c r="O98" s="47"/>
      <c r="P98" s="241"/>
      <c r="Q98" s="47"/>
      <c r="R98" s="47"/>
      <c r="S98" s="47"/>
      <c r="T98" s="8"/>
      <c r="U98" s="10"/>
    </row>
    <row r="99" spans="1:25" x14ac:dyDescent="0.25">
      <c r="G99" s="14"/>
      <c r="H99" s="47"/>
      <c r="J99" s="47"/>
      <c r="K99" s="47"/>
      <c r="L99" s="47"/>
      <c r="M99" s="47"/>
      <c r="N99" s="47"/>
      <c r="O99" s="47"/>
      <c r="P99" s="241"/>
      <c r="Q99" s="47"/>
      <c r="R99" s="47"/>
      <c r="S99" s="47"/>
      <c r="T99" s="8"/>
      <c r="U99" s="10"/>
    </row>
    <row r="100" spans="1:25" x14ac:dyDescent="0.25">
      <c r="A100" s="11">
        <v>13</v>
      </c>
      <c r="B100" s="26" t="s">
        <v>63</v>
      </c>
      <c r="G100" s="14"/>
      <c r="H100" s="47"/>
      <c r="J100" s="47"/>
      <c r="K100" s="47"/>
      <c r="L100" s="47"/>
      <c r="M100" s="47"/>
      <c r="N100" s="47"/>
      <c r="O100" s="47"/>
      <c r="P100" s="241"/>
      <c r="Q100" s="47"/>
      <c r="R100" s="47"/>
      <c r="S100" s="47"/>
      <c r="T100" s="8"/>
      <c r="U100" s="10"/>
    </row>
    <row r="101" spans="1:25" ht="9" customHeight="1" thickBot="1" x14ac:dyDescent="0.3">
      <c r="G101" s="14"/>
      <c r="H101" s="47"/>
      <c r="J101" s="47"/>
      <c r="K101" s="47"/>
      <c r="L101" s="47"/>
      <c r="M101" s="47"/>
      <c r="N101" s="47"/>
      <c r="O101" s="47"/>
      <c r="P101" s="241"/>
      <c r="Q101" s="47"/>
      <c r="R101" s="47"/>
      <c r="S101" s="47"/>
      <c r="T101" s="8"/>
      <c r="U101" s="10"/>
    </row>
    <row r="102" spans="1:25" ht="13.8" thickBot="1" x14ac:dyDescent="0.3">
      <c r="B102" s="9" t="s">
        <v>121</v>
      </c>
      <c r="E102" s="31">
        <f>SUM(H102:N102)</f>
        <v>0</v>
      </c>
      <c r="F102" s="9"/>
      <c r="G102" s="16"/>
      <c r="H102" s="31"/>
      <c r="J102" s="31"/>
      <c r="K102" s="22"/>
      <c r="L102" s="2"/>
      <c r="M102" s="22"/>
      <c r="N102" s="2"/>
      <c r="O102" s="22"/>
      <c r="P102" s="240"/>
      <c r="Q102" s="31"/>
      <c r="R102" s="22"/>
      <c r="S102" s="31"/>
      <c r="T102" s="8"/>
      <c r="U102" s="10"/>
      <c r="V102" s="1642"/>
      <c r="W102" s="1668"/>
      <c r="X102" s="1668"/>
      <c r="Y102" s="1669"/>
    </row>
    <row r="103" spans="1:25" ht="6" customHeight="1" thickBot="1" x14ac:dyDescent="0.3">
      <c r="B103" s="9"/>
      <c r="E103" s="15"/>
      <c r="F103" s="9"/>
      <c r="G103" s="16"/>
      <c r="H103" s="15"/>
      <c r="J103" s="15"/>
      <c r="K103" s="22"/>
      <c r="L103" s="15"/>
      <c r="M103" s="22"/>
      <c r="N103" s="15"/>
      <c r="O103" s="22"/>
      <c r="P103" s="240"/>
      <c r="Q103" s="15"/>
      <c r="R103" s="22"/>
      <c r="S103" s="15"/>
      <c r="T103" s="8"/>
      <c r="U103" s="10"/>
      <c r="V103" s="1670"/>
      <c r="W103" s="1671"/>
      <c r="X103" s="1671"/>
      <c r="Y103" s="1672"/>
    </row>
    <row r="104" spans="1:25" ht="13.8" thickBot="1" x14ac:dyDescent="0.3">
      <c r="B104" s="9" t="s">
        <v>122</v>
      </c>
      <c r="E104" s="31">
        <f>SUM(H104:N104)</f>
        <v>0</v>
      </c>
      <c r="F104" s="9"/>
      <c r="G104" s="16"/>
      <c r="H104" s="31"/>
      <c r="J104" s="31"/>
      <c r="K104" s="22"/>
      <c r="L104" s="2"/>
      <c r="M104" s="22"/>
      <c r="N104" s="2"/>
      <c r="O104" s="22"/>
      <c r="P104" s="240"/>
      <c r="Q104" s="31"/>
      <c r="R104" s="22"/>
      <c r="S104" s="31"/>
      <c r="T104" s="8"/>
      <c r="U104" s="10"/>
      <c r="V104" s="1670"/>
      <c r="W104" s="1671"/>
      <c r="X104" s="1671"/>
      <c r="Y104" s="1672"/>
    </row>
    <row r="105" spans="1:25" ht="6" customHeight="1" thickBot="1" x14ac:dyDescent="0.3">
      <c r="B105" s="9"/>
      <c r="E105" s="17"/>
      <c r="F105" s="9"/>
      <c r="G105" s="16"/>
      <c r="H105" s="22"/>
      <c r="J105" s="22"/>
      <c r="K105" s="22"/>
      <c r="L105" s="22"/>
      <c r="M105" s="22"/>
      <c r="N105" s="22"/>
      <c r="O105" s="22"/>
      <c r="P105" s="240"/>
      <c r="Q105" s="22"/>
      <c r="R105" s="22"/>
      <c r="S105" s="22"/>
      <c r="T105" s="8"/>
      <c r="U105" s="10"/>
      <c r="V105" s="1670"/>
      <c r="W105" s="1671"/>
      <c r="X105" s="1671"/>
      <c r="Y105" s="1672"/>
    </row>
    <row r="106" spans="1:25" ht="13.8" thickBot="1" x14ac:dyDescent="0.3">
      <c r="B106" s="9" t="s">
        <v>123</v>
      </c>
      <c r="E106" s="31">
        <f>SUM(H106:N106)</f>
        <v>0</v>
      </c>
      <c r="F106" s="9"/>
      <c r="G106" s="16"/>
      <c r="H106" s="31"/>
      <c r="J106" s="31"/>
      <c r="K106" s="22"/>
      <c r="L106" s="2"/>
      <c r="M106" s="22"/>
      <c r="N106" s="2"/>
      <c r="O106" s="22"/>
      <c r="P106" s="240"/>
      <c r="Q106" s="31"/>
      <c r="R106" s="22"/>
      <c r="S106" s="31"/>
      <c r="T106" s="8"/>
      <c r="U106" s="10"/>
      <c r="V106" s="1670"/>
      <c r="W106" s="1671"/>
      <c r="X106" s="1671"/>
      <c r="Y106" s="1672"/>
    </row>
    <row r="107" spans="1:25" ht="6" customHeight="1" thickBot="1" x14ac:dyDescent="0.3">
      <c r="B107" s="9"/>
      <c r="E107" s="15"/>
      <c r="F107" s="9"/>
      <c r="G107" s="16"/>
      <c r="H107" s="15"/>
      <c r="J107" s="15"/>
      <c r="K107" s="22"/>
      <c r="L107" s="15"/>
      <c r="M107" s="22"/>
      <c r="N107" s="15"/>
      <c r="O107" s="22"/>
      <c r="P107" s="240"/>
      <c r="Q107" s="15"/>
      <c r="R107" s="22"/>
      <c r="S107" s="15"/>
      <c r="T107" s="8"/>
      <c r="U107" s="10"/>
      <c r="V107" s="1670"/>
      <c r="W107" s="1671"/>
      <c r="X107" s="1671"/>
      <c r="Y107" s="1672"/>
    </row>
    <row r="108" spans="1:25" ht="13.8" thickBot="1" x14ac:dyDescent="0.3">
      <c r="B108" s="9" t="s">
        <v>124</v>
      </c>
      <c r="E108" s="31">
        <f>SUM(H108:N108)</f>
        <v>0</v>
      </c>
      <c r="F108" s="9"/>
      <c r="G108" s="16"/>
      <c r="H108" s="31"/>
      <c r="J108" s="31"/>
      <c r="K108" s="22"/>
      <c r="L108" s="2"/>
      <c r="M108" s="22"/>
      <c r="N108" s="2"/>
      <c r="O108" s="22"/>
      <c r="P108" s="240"/>
      <c r="Q108" s="31"/>
      <c r="R108" s="22"/>
      <c r="S108" s="31"/>
      <c r="T108" s="8"/>
      <c r="U108" s="10"/>
      <c r="V108" s="1670"/>
      <c r="W108" s="1671"/>
      <c r="X108" s="1671"/>
      <c r="Y108" s="1672"/>
    </row>
    <row r="109" spans="1:25" ht="6" customHeight="1" thickBot="1" x14ac:dyDescent="0.3">
      <c r="B109" s="9"/>
      <c r="E109" s="17"/>
      <c r="F109" s="9"/>
      <c r="G109" s="16"/>
      <c r="H109" s="22"/>
      <c r="J109" s="22"/>
      <c r="K109" s="22"/>
      <c r="L109" s="22"/>
      <c r="M109" s="22"/>
      <c r="N109" s="22"/>
      <c r="O109" s="22"/>
      <c r="P109" s="240"/>
      <c r="Q109" s="22"/>
      <c r="R109" s="22"/>
      <c r="S109" s="22"/>
      <c r="T109" s="8"/>
      <c r="U109" s="10"/>
      <c r="V109" s="1670"/>
      <c r="W109" s="1671"/>
      <c r="X109" s="1671"/>
      <c r="Y109" s="1672"/>
    </row>
    <row r="110" spans="1:25" ht="13.8" thickBot="1" x14ac:dyDescent="0.3">
      <c r="B110" s="9" t="s">
        <v>125</v>
      </c>
      <c r="E110" s="31">
        <f>SUM(H110:N110)</f>
        <v>0</v>
      </c>
      <c r="F110" s="9"/>
      <c r="G110" s="16"/>
      <c r="H110" s="31"/>
      <c r="J110" s="31"/>
      <c r="K110" s="22"/>
      <c r="L110" s="2"/>
      <c r="M110" s="22"/>
      <c r="N110" s="2"/>
      <c r="O110" s="22"/>
      <c r="P110" s="240"/>
      <c r="Q110" s="31"/>
      <c r="R110" s="22"/>
      <c r="S110" s="31"/>
      <c r="T110" s="8"/>
      <c r="U110" s="10"/>
      <c r="V110" s="1673"/>
      <c r="W110" s="1674"/>
      <c r="X110" s="1674"/>
      <c r="Y110" s="1675"/>
    </row>
    <row r="111" spans="1:25" ht="9" customHeight="1" x14ac:dyDescent="0.25">
      <c r="B111" s="9"/>
      <c r="E111" s="17"/>
      <c r="F111" s="9"/>
      <c r="G111" s="16"/>
      <c r="H111" s="22"/>
      <c r="J111" s="22"/>
      <c r="K111" s="22"/>
      <c r="L111" s="22"/>
      <c r="M111" s="22"/>
      <c r="N111" s="22"/>
      <c r="O111" s="22"/>
      <c r="P111" s="240"/>
      <c r="Q111" s="22"/>
      <c r="R111" s="22"/>
      <c r="S111" s="22"/>
      <c r="T111" s="8"/>
      <c r="U111" s="10"/>
    </row>
    <row r="112" spans="1:25" x14ac:dyDescent="0.25">
      <c r="A112" s="10"/>
      <c r="B112" s="26" t="s">
        <v>64</v>
      </c>
      <c r="E112" s="19">
        <f>(E102+E104+E106+E108+E110)</f>
        <v>0</v>
      </c>
      <c r="G112" s="14"/>
      <c r="H112" s="47"/>
      <c r="J112" s="47"/>
      <c r="K112" s="47"/>
      <c r="L112" s="47"/>
      <c r="M112" s="47"/>
      <c r="N112" s="47"/>
      <c r="O112" s="47"/>
      <c r="P112" s="241"/>
      <c r="Q112" s="47"/>
      <c r="R112" s="47"/>
      <c r="S112" s="47"/>
      <c r="T112" s="8"/>
    </row>
    <row r="113" spans="1:25" x14ac:dyDescent="0.25">
      <c r="G113" s="14"/>
      <c r="H113" s="47"/>
      <c r="J113" s="47"/>
      <c r="K113" s="47"/>
      <c r="L113" s="47"/>
      <c r="M113" s="47"/>
      <c r="N113" s="47"/>
      <c r="O113" s="47"/>
      <c r="P113" s="241"/>
      <c r="Q113" s="47"/>
      <c r="R113" s="47"/>
      <c r="S113" s="47"/>
      <c r="T113" s="8"/>
    </row>
    <row r="114" spans="1:25" x14ac:dyDescent="0.25">
      <c r="A114" s="11">
        <v>14</v>
      </c>
      <c r="B114" s="26" t="s">
        <v>65</v>
      </c>
      <c r="G114" s="14"/>
      <c r="H114" s="47"/>
      <c r="J114" s="47"/>
      <c r="K114" s="47"/>
      <c r="L114" s="47"/>
      <c r="M114" s="47"/>
      <c r="N114" s="47"/>
      <c r="O114" s="47"/>
      <c r="P114" s="241"/>
      <c r="Q114" s="47"/>
      <c r="R114" s="47"/>
      <c r="S114" s="47"/>
      <c r="T114" s="8"/>
    </row>
    <row r="115" spans="1:25" ht="9" customHeight="1" thickBot="1" x14ac:dyDescent="0.3">
      <c r="G115" s="14"/>
      <c r="H115" s="47"/>
      <c r="J115" s="47"/>
      <c r="K115" s="47"/>
      <c r="L115" s="47"/>
      <c r="M115" s="47"/>
      <c r="N115" s="47"/>
      <c r="O115" s="47"/>
      <c r="P115" s="241"/>
      <c r="Q115" s="47"/>
      <c r="R115" s="47"/>
      <c r="S115" s="47"/>
      <c r="T115" s="8"/>
    </row>
    <row r="116" spans="1:25" ht="13.8" thickBot="1" x14ac:dyDescent="0.3">
      <c r="B116" s="9" t="s">
        <v>126</v>
      </c>
      <c r="E116" s="31">
        <f>SUM(H116:N116)</f>
        <v>0</v>
      </c>
      <c r="F116" s="9"/>
      <c r="G116" s="16"/>
      <c r="H116" s="2"/>
      <c r="J116" s="2"/>
      <c r="K116" s="22"/>
      <c r="L116" s="2"/>
      <c r="M116" s="22"/>
      <c r="N116" s="2"/>
      <c r="O116" s="22"/>
      <c r="P116" s="240"/>
      <c r="Q116" s="2"/>
      <c r="R116" s="22"/>
      <c r="S116" s="370">
        <f>H116-Q116</f>
        <v>0</v>
      </c>
      <c r="T116" s="8"/>
      <c r="V116" s="1642"/>
      <c r="W116" s="1643"/>
      <c r="X116" s="1643"/>
      <c r="Y116" s="1644"/>
    </row>
    <row r="117" spans="1:25" ht="6" customHeight="1" thickBot="1" x14ac:dyDescent="0.3">
      <c r="B117" s="9"/>
      <c r="E117" s="15"/>
      <c r="F117" s="9"/>
      <c r="G117" s="14"/>
      <c r="H117" s="15"/>
      <c r="J117" s="15"/>
      <c r="K117" s="47"/>
      <c r="L117" s="15"/>
      <c r="M117" s="47"/>
      <c r="N117" s="15"/>
      <c r="O117" s="22"/>
      <c r="P117" s="241"/>
      <c r="Q117" s="15"/>
      <c r="R117" s="22"/>
      <c r="S117" s="15"/>
      <c r="T117" s="8"/>
      <c r="V117" s="1645"/>
      <c r="W117" s="1646"/>
      <c r="X117" s="1646"/>
      <c r="Y117" s="1647"/>
    </row>
    <row r="118" spans="1:25" ht="13.8" thickBot="1" x14ac:dyDescent="0.3">
      <c r="B118" s="9" t="s">
        <v>127</v>
      </c>
      <c r="E118" s="31">
        <f>SUM(H118:N118)</f>
        <v>0</v>
      </c>
      <c r="F118" s="9"/>
      <c r="G118" s="16"/>
      <c r="H118" s="2"/>
      <c r="J118" s="2"/>
      <c r="K118" s="22"/>
      <c r="L118" s="2"/>
      <c r="M118" s="22"/>
      <c r="N118" s="2"/>
      <c r="O118" s="22"/>
      <c r="P118" s="240"/>
      <c r="Q118" s="2"/>
      <c r="R118" s="22"/>
      <c r="S118" s="370">
        <f>H118-Q118</f>
        <v>0</v>
      </c>
      <c r="T118" s="8"/>
      <c r="V118" s="1645"/>
      <c r="W118" s="1646"/>
      <c r="X118" s="1646"/>
      <c r="Y118" s="1647"/>
    </row>
    <row r="119" spans="1:25" ht="6" customHeight="1" thickBot="1" x14ac:dyDescent="0.3">
      <c r="B119" s="9"/>
      <c r="E119" s="17"/>
      <c r="F119" s="9"/>
      <c r="G119" s="14"/>
      <c r="H119" s="22"/>
      <c r="J119" s="22"/>
      <c r="K119" s="47"/>
      <c r="L119" s="22"/>
      <c r="M119" s="47"/>
      <c r="N119" s="22"/>
      <c r="O119" s="22"/>
      <c r="P119" s="241"/>
      <c r="Q119" s="22"/>
      <c r="R119" s="22"/>
      <c r="S119" s="22"/>
      <c r="T119" s="8"/>
      <c r="V119" s="1645"/>
      <c r="W119" s="1646"/>
      <c r="X119" s="1646"/>
      <c r="Y119" s="1647"/>
    </row>
    <row r="120" spans="1:25" ht="13.8" thickBot="1" x14ac:dyDescent="0.3">
      <c r="B120" s="9" t="s">
        <v>128</v>
      </c>
      <c r="E120" s="31">
        <f>SUM(H120:N120)</f>
        <v>0</v>
      </c>
      <c r="F120" s="9"/>
      <c r="G120" s="16"/>
      <c r="H120" s="2"/>
      <c r="J120" s="2"/>
      <c r="K120" s="22"/>
      <c r="L120" s="2"/>
      <c r="M120" s="22"/>
      <c r="N120" s="2"/>
      <c r="O120" s="22"/>
      <c r="P120" s="240"/>
      <c r="Q120" s="2"/>
      <c r="R120" s="22"/>
      <c r="S120" s="370">
        <f>H120-Q120</f>
        <v>0</v>
      </c>
      <c r="T120" s="8"/>
      <c r="V120" s="1648"/>
      <c r="W120" s="1649"/>
      <c r="X120" s="1649"/>
      <c r="Y120" s="1650"/>
    </row>
    <row r="121" spans="1:25" ht="9" customHeight="1" x14ac:dyDescent="0.25">
      <c r="B121" s="9"/>
      <c r="E121" s="17"/>
      <c r="F121" s="9"/>
      <c r="G121" s="14"/>
      <c r="H121" s="17"/>
      <c r="J121" s="17"/>
      <c r="L121" s="17"/>
      <c r="N121" s="17"/>
      <c r="O121" s="17"/>
      <c r="P121" s="14"/>
      <c r="Q121" s="17"/>
      <c r="R121" s="17"/>
      <c r="S121" s="17"/>
      <c r="T121" s="8"/>
    </row>
    <row r="122" spans="1:25" x14ac:dyDescent="0.25">
      <c r="A122" s="10"/>
      <c r="B122" s="26" t="s">
        <v>232</v>
      </c>
      <c r="E122" s="19">
        <f>(E116+E118+E120)</f>
        <v>0</v>
      </c>
      <c r="G122" s="14"/>
      <c r="H122" s="259">
        <f>SUM(H9:H120)</f>
        <v>0</v>
      </c>
      <c r="I122" s="260"/>
      <c r="J122" s="259">
        <f>SUM(J9:J120)</f>
        <v>0</v>
      </c>
      <c r="K122" s="260"/>
      <c r="L122" s="259">
        <f>SUM(L9:L120)</f>
        <v>0</v>
      </c>
      <c r="M122" s="260"/>
      <c r="N122" s="259">
        <f>SUM(N9:N120)</f>
        <v>0</v>
      </c>
      <c r="P122" s="14"/>
      <c r="Q122" s="258"/>
      <c r="S122" s="258"/>
      <c r="T122" s="8"/>
    </row>
    <row r="123" spans="1:25" x14ac:dyDescent="0.25">
      <c r="G123" s="14"/>
      <c r="P123" s="14"/>
    </row>
    <row r="124" spans="1:25" ht="13.8" thickBot="1" x14ac:dyDescent="0.3"/>
    <row r="125" spans="1:25" ht="13.8" thickBot="1" x14ac:dyDescent="0.3">
      <c r="A125" s="26" t="s">
        <v>770</v>
      </c>
      <c r="E125" s="1665">
        <f>E9+E31+E48+E67+E83+E98+E112+E122</f>
        <v>0</v>
      </c>
      <c r="F125" s="1666"/>
      <c r="G125" s="1666"/>
      <c r="H125" s="1667"/>
      <c r="J125" s="238"/>
      <c r="Q125" s="48">
        <f>SUM(Q7:Q122)</f>
        <v>0</v>
      </c>
      <c r="R125" s="47"/>
      <c r="S125" s="48">
        <f>SUM(S7:S122)</f>
        <v>0</v>
      </c>
      <c r="T125" s="33"/>
      <c r="Y125" s="238"/>
    </row>
    <row r="127" spans="1:25" ht="14.25" customHeight="1" x14ac:dyDescent="0.25">
      <c r="A127" s="9"/>
      <c r="G127" s="287" t="str">
        <f>'MH Underwriting'!W62</f>
        <v/>
      </c>
      <c r="L127" s="288" t="str">
        <f>'MH Underwriting'!W64</f>
        <v/>
      </c>
      <c r="N127" s="289" t="str">
        <f>'MH Underwriting'!W66</f>
        <v/>
      </c>
      <c r="Q127" s="10"/>
      <c r="R127" s="10"/>
      <c r="S127" s="10"/>
      <c r="T127" s="10"/>
    </row>
    <row r="130" spans="1:21" s="248" customFormat="1" ht="24" customHeight="1" x14ac:dyDescent="0.25">
      <c r="A130" s="243"/>
      <c r="B130" s="243"/>
      <c r="C130" s="243"/>
      <c r="D130" s="243"/>
      <c r="E130" s="243"/>
      <c r="F130" s="243"/>
      <c r="G130" s="243"/>
      <c r="H130" s="243"/>
      <c r="I130" s="243"/>
      <c r="J130" s="243"/>
      <c r="K130" s="243"/>
      <c r="L130" s="243"/>
      <c r="M130" s="243"/>
      <c r="N130" s="243"/>
      <c r="O130" s="243"/>
      <c r="P130" s="243"/>
      <c r="Q130" s="243"/>
      <c r="R130" s="6"/>
      <c r="S130" s="243"/>
      <c r="U130" s="249"/>
    </row>
  </sheetData>
  <sheetProtection algorithmName="SHA-512" hashValue="faVvs/duOtdduqZ1Qij/OJyqCTx7y6ilxuOihwuGtJgkaMCw/C2iVmaQfrTaQSupw4rWb+8PgVbBGpFZynY1Qg==" saltValue="cuHYRiuZAWDZaf7SSv8+Mg==" spinCount="100000" sheet="1" objects="1" scenarios="1" selectLockedCells="1"/>
  <dataConsolidate link="1"/>
  <mergeCells count="20">
    <mergeCell ref="B34:E34"/>
    <mergeCell ref="B51:E51"/>
    <mergeCell ref="B86:E86"/>
    <mergeCell ref="V13:Y28"/>
    <mergeCell ref="V38:Y45"/>
    <mergeCell ref="V53:Y64"/>
    <mergeCell ref="B71:E71"/>
    <mergeCell ref="V34:Y34"/>
    <mergeCell ref="H34:M34"/>
    <mergeCell ref="V88:Y95"/>
    <mergeCell ref="E125:H125"/>
    <mergeCell ref="V73:Y79"/>
    <mergeCell ref="V102:Y110"/>
    <mergeCell ref="V116:Y120"/>
    <mergeCell ref="AA35:AB35"/>
    <mergeCell ref="AA36:AB36"/>
    <mergeCell ref="AA34:AB34"/>
    <mergeCell ref="P2:S2"/>
    <mergeCell ref="P3:S3"/>
    <mergeCell ref="P4:S4"/>
  </mergeCells>
  <phoneticPr fontId="11" type="noConversion"/>
  <printOptions horizontalCentered="1"/>
  <pageMargins left="0.5" right="0.5" top="0.25" bottom="0.3" header="0" footer="0"/>
  <pageSetup scale="76"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pageSetUpPr fitToPage="1"/>
  </sheetPr>
  <dimension ref="A1:J87"/>
  <sheetViews>
    <sheetView showGridLines="0" zoomScale="110" zoomScaleNormal="110" zoomScaleSheetLayoutView="100" workbookViewId="0">
      <selection activeCell="F79" sqref="F79"/>
    </sheetView>
  </sheetViews>
  <sheetFormatPr defaultColWidth="9.109375" defaultRowHeight="12.75" customHeight="1" x14ac:dyDescent="0.25"/>
  <cols>
    <col min="1" max="1" width="3.6640625" style="331" customWidth="1"/>
    <col min="2" max="2" width="3.6640625" style="330" customWidth="1"/>
    <col min="3" max="3" width="40.6640625" style="331" customWidth="1"/>
    <col min="4" max="4" width="9.109375" style="332"/>
    <col min="5" max="5" width="9.88671875" style="331" bestFit="1" customWidth="1"/>
    <col min="6" max="10" width="9.109375" style="332"/>
    <col min="11" max="11" width="2.6640625" style="332" customWidth="1"/>
    <col min="12" max="16384" width="9.109375" style="332"/>
  </cols>
  <sheetData>
    <row r="1" spans="1:10" ht="12.75" customHeight="1" x14ac:dyDescent="0.25">
      <c r="A1" s="246" t="s">
        <v>588</v>
      </c>
      <c r="C1" s="351"/>
      <c r="D1" s="352"/>
      <c r="E1" s="351"/>
      <c r="F1" s="352"/>
      <c r="J1" s="536" t="str">
        <f>'Project Information'!D4</f>
        <v>Project Name</v>
      </c>
    </row>
    <row r="2" spans="1:10" ht="12.75" customHeight="1" x14ac:dyDescent="0.25">
      <c r="A2" s="246"/>
      <c r="C2" s="351"/>
      <c r="D2" s="352"/>
      <c r="E2" s="351"/>
      <c r="F2" s="352"/>
    </row>
    <row r="3" spans="1:10" ht="12.75" customHeight="1" x14ac:dyDescent="0.25">
      <c r="A3" s="349" t="s">
        <v>616</v>
      </c>
      <c r="C3" s="351"/>
      <c r="D3" s="352"/>
      <c r="E3" s="351"/>
      <c r="F3" s="352"/>
      <c r="G3" s="353" t="s">
        <v>227</v>
      </c>
    </row>
    <row r="4" spans="1:10" ht="12.75" customHeight="1" thickBot="1" x14ac:dyDescent="0.3">
      <c r="C4" s="351"/>
      <c r="D4" s="352"/>
      <c r="E4" s="351"/>
      <c r="F4" s="352"/>
    </row>
    <row r="5" spans="1:10" ht="12.75" customHeight="1" thickBot="1" x14ac:dyDescent="0.3">
      <c r="A5" s="354"/>
      <c r="B5" s="355" t="s">
        <v>233</v>
      </c>
      <c r="C5" s="332"/>
      <c r="D5" s="356"/>
      <c r="F5" s="356"/>
      <c r="G5" s="1632"/>
      <c r="H5" s="1633"/>
      <c r="I5" s="1633"/>
      <c r="J5" s="1634"/>
    </row>
    <row r="6" spans="1:10" s="360" customFormat="1" ht="12.75" customHeight="1" thickBot="1" x14ac:dyDescent="0.25">
      <c r="A6" s="357"/>
      <c r="B6" s="358">
        <v>1</v>
      </c>
      <c r="C6" s="366"/>
      <c r="D6" s="359"/>
      <c r="E6" s="366"/>
      <c r="F6" s="359"/>
      <c r="G6" s="1635"/>
      <c r="H6" s="1636"/>
      <c r="I6" s="1636"/>
      <c r="J6" s="1637"/>
    </row>
    <row r="7" spans="1:10" s="360" customFormat="1" ht="12.75" customHeight="1" thickBot="1" x14ac:dyDescent="0.25">
      <c r="A7" s="357"/>
      <c r="B7" s="358">
        <f>B6+1</f>
        <v>2</v>
      </c>
      <c r="C7" s="366"/>
      <c r="D7" s="359"/>
      <c r="E7" s="366"/>
      <c r="F7" s="359"/>
      <c r="G7" s="1635"/>
      <c r="H7" s="1636"/>
      <c r="I7" s="1636"/>
      <c r="J7" s="1638"/>
    </row>
    <row r="8" spans="1:10" s="360" customFormat="1" ht="12.75" customHeight="1" thickBot="1" x14ac:dyDescent="0.25">
      <c r="A8" s="357"/>
      <c r="B8" s="358">
        <f t="shared" ref="B8:B15" si="0">B7+1</f>
        <v>3</v>
      </c>
      <c r="C8" s="366"/>
      <c r="D8" s="359"/>
      <c r="E8" s="366"/>
      <c r="F8" s="359"/>
      <c r="G8" s="1635"/>
      <c r="H8" s="1636"/>
      <c r="I8" s="1636"/>
      <c r="J8" s="1638"/>
    </row>
    <row r="9" spans="1:10" s="360" customFormat="1" ht="12.75" customHeight="1" thickBot="1" x14ac:dyDescent="0.25">
      <c r="A9" s="357"/>
      <c r="B9" s="358">
        <f t="shared" si="0"/>
        <v>4</v>
      </c>
      <c r="C9" s="366"/>
      <c r="D9" s="359"/>
      <c r="E9" s="366"/>
      <c r="F9" s="359"/>
      <c r="G9" s="1635"/>
      <c r="H9" s="1636"/>
      <c r="I9" s="1636"/>
      <c r="J9" s="1638"/>
    </row>
    <row r="10" spans="1:10" s="360" customFormat="1" ht="12.75" customHeight="1" thickBot="1" x14ac:dyDescent="0.25">
      <c r="A10" s="357"/>
      <c r="B10" s="358">
        <f t="shared" si="0"/>
        <v>5</v>
      </c>
      <c r="C10" s="366"/>
      <c r="D10" s="359"/>
      <c r="E10" s="366"/>
      <c r="F10" s="359"/>
      <c r="G10" s="1635"/>
      <c r="H10" s="1636"/>
      <c r="I10" s="1636"/>
      <c r="J10" s="1638"/>
    </row>
    <row r="11" spans="1:10" s="360" customFormat="1" ht="12.75" customHeight="1" thickBot="1" x14ac:dyDescent="0.25">
      <c r="A11" s="357"/>
      <c r="B11" s="358">
        <f t="shared" si="0"/>
        <v>6</v>
      </c>
      <c r="C11" s="366"/>
      <c r="D11" s="359"/>
      <c r="E11" s="366"/>
      <c r="F11" s="359"/>
      <c r="G11" s="1635"/>
      <c r="H11" s="1636"/>
      <c r="I11" s="1636"/>
      <c r="J11" s="1638"/>
    </row>
    <row r="12" spans="1:10" s="360" customFormat="1" ht="12.75" customHeight="1" thickBot="1" x14ac:dyDescent="0.25">
      <c r="A12" s="357"/>
      <c r="B12" s="358">
        <f t="shared" si="0"/>
        <v>7</v>
      </c>
      <c r="C12" s="366"/>
      <c r="D12" s="359"/>
      <c r="E12" s="366"/>
      <c r="F12" s="359"/>
      <c r="G12" s="1635"/>
      <c r="H12" s="1636"/>
      <c r="I12" s="1636"/>
      <c r="J12" s="1637"/>
    </row>
    <row r="13" spans="1:10" s="360" customFormat="1" ht="12.75" customHeight="1" thickBot="1" x14ac:dyDescent="0.25">
      <c r="A13" s="357"/>
      <c r="B13" s="358">
        <f t="shared" si="0"/>
        <v>8</v>
      </c>
      <c r="C13" s="366"/>
      <c r="D13" s="359"/>
      <c r="E13" s="366"/>
      <c r="F13" s="359"/>
      <c r="G13" s="1635"/>
      <c r="H13" s="1636"/>
      <c r="I13" s="1636"/>
      <c r="J13" s="1637"/>
    </row>
    <row r="14" spans="1:10" s="360" customFormat="1" ht="12.75" customHeight="1" thickBot="1" x14ac:dyDescent="0.25">
      <c r="A14" s="357"/>
      <c r="B14" s="358">
        <f t="shared" si="0"/>
        <v>9</v>
      </c>
      <c r="C14" s="366"/>
      <c r="D14" s="359"/>
      <c r="E14" s="366"/>
      <c r="F14" s="359"/>
      <c r="G14" s="1635"/>
      <c r="H14" s="1636"/>
      <c r="I14" s="1636"/>
      <c r="J14" s="1637"/>
    </row>
    <row r="15" spans="1:10" s="360" customFormat="1" ht="12.75" customHeight="1" thickBot="1" x14ac:dyDescent="0.25">
      <c r="A15" s="357"/>
      <c r="B15" s="358">
        <f t="shared" si="0"/>
        <v>10</v>
      </c>
      <c r="C15" s="366"/>
      <c r="D15" s="359"/>
      <c r="E15" s="366"/>
      <c r="F15" s="359"/>
      <c r="G15" s="1639"/>
      <c r="H15" s="1640"/>
      <c r="I15" s="1640"/>
      <c r="J15" s="1641"/>
    </row>
    <row r="16" spans="1:10" ht="12.75" customHeight="1" x14ac:dyDescent="0.25">
      <c r="A16" s="361"/>
      <c r="B16" s="362"/>
      <c r="C16" s="349" t="s">
        <v>234</v>
      </c>
      <c r="D16" s="352"/>
      <c r="E16" s="363">
        <f>SUM(E5:E15)</f>
        <v>0</v>
      </c>
      <c r="F16" s="352"/>
    </row>
    <row r="17" spans="1:10" ht="12.75" customHeight="1" x14ac:dyDescent="0.25">
      <c r="D17" s="352"/>
      <c r="F17" s="352"/>
    </row>
    <row r="18" spans="1:10" ht="12.75" customHeight="1" thickBot="1" x14ac:dyDescent="0.3">
      <c r="D18" s="352"/>
      <c r="F18" s="352"/>
    </row>
    <row r="19" spans="1:10" ht="12.75" customHeight="1" thickBot="1" x14ac:dyDescent="0.3">
      <c r="A19" s="354"/>
      <c r="B19" s="355" t="s">
        <v>56</v>
      </c>
      <c r="C19" s="332"/>
      <c r="D19" s="352"/>
      <c r="F19" s="352"/>
      <c r="G19" s="1632"/>
      <c r="H19" s="1633"/>
      <c r="I19" s="1633"/>
      <c r="J19" s="1634"/>
    </row>
    <row r="20" spans="1:10" s="360" customFormat="1" ht="12.75" customHeight="1" thickBot="1" x14ac:dyDescent="0.25">
      <c r="A20" s="357"/>
      <c r="B20" s="358">
        <v>1</v>
      </c>
      <c r="C20" s="366"/>
      <c r="D20" s="359"/>
      <c r="E20" s="366"/>
      <c r="F20" s="359"/>
      <c r="G20" s="1635"/>
      <c r="H20" s="1636"/>
      <c r="I20" s="1636"/>
      <c r="J20" s="1637"/>
    </row>
    <row r="21" spans="1:10" s="360" customFormat="1" ht="12.75" customHeight="1" thickBot="1" x14ac:dyDescent="0.25">
      <c r="A21" s="357"/>
      <c r="B21" s="358">
        <f>B20+1</f>
        <v>2</v>
      </c>
      <c r="C21" s="366"/>
      <c r="D21" s="359"/>
      <c r="E21" s="366"/>
      <c r="F21" s="359"/>
      <c r="G21" s="1635"/>
      <c r="H21" s="1636"/>
      <c r="I21" s="1636"/>
      <c r="J21" s="1638"/>
    </row>
    <row r="22" spans="1:10" s="360" customFormat="1" ht="12.75" customHeight="1" thickBot="1" x14ac:dyDescent="0.25">
      <c r="A22" s="357"/>
      <c r="B22" s="358">
        <f t="shared" ref="B22:B29" si="1">B21+1</f>
        <v>3</v>
      </c>
      <c r="C22" s="366"/>
      <c r="D22" s="359"/>
      <c r="E22" s="366"/>
      <c r="F22" s="359"/>
      <c r="G22" s="1635"/>
      <c r="H22" s="1636"/>
      <c r="I22" s="1636"/>
      <c r="J22" s="1638"/>
    </row>
    <row r="23" spans="1:10" s="360" customFormat="1" ht="12.75" customHeight="1" thickBot="1" x14ac:dyDescent="0.25">
      <c r="A23" s="357"/>
      <c r="B23" s="358">
        <f t="shared" si="1"/>
        <v>4</v>
      </c>
      <c r="C23" s="366"/>
      <c r="D23" s="359"/>
      <c r="E23" s="366"/>
      <c r="F23" s="359"/>
      <c r="G23" s="1635"/>
      <c r="H23" s="1636"/>
      <c r="I23" s="1636"/>
      <c r="J23" s="1638"/>
    </row>
    <row r="24" spans="1:10" s="360" customFormat="1" ht="12.75" customHeight="1" thickBot="1" x14ac:dyDescent="0.25">
      <c r="A24" s="357"/>
      <c r="B24" s="358">
        <f t="shared" si="1"/>
        <v>5</v>
      </c>
      <c r="C24" s="366"/>
      <c r="D24" s="359"/>
      <c r="E24" s="366"/>
      <c r="F24" s="359"/>
      <c r="G24" s="1635"/>
      <c r="H24" s="1636"/>
      <c r="I24" s="1636"/>
      <c r="J24" s="1638"/>
    </row>
    <row r="25" spans="1:10" s="360" customFormat="1" ht="12.75" customHeight="1" thickBot="1" x14ac:dyDescent="0.25">
      <c r="A25" s="357"/>
      <c r="B25" s="358">
        <f t="shared" si="1"/>
        <v>6</v>
      </c>
      <c r="C25" s="366"/>
      <c r="D25" s="359"/>
      <c r="E25" s="366"/>
      <c r="F25" s="359"/>
      <c r="G25" s="1635"/>
      <c r="H25" s="1636"/>
      <c r="I25" s="1636"/>
      <c r="J25" s="1638"/>
    </row>
    <row r="26" spans="1:10" s="360" customFormat="1" ht="12.75" customHeight="1" thickBot="1" x14ac:dyDescent="0.25">
      <c r="A26" s="357"/>
      <c r="B26" s="358">
        <f t="shared" si="1"/>
        <v>7</v>
      </c>
      <c r="C26" s="366"/>
      <c r="D26" s="359"/>
      <c r="E26" s="366"/>
      <c r="F26" s="359"/>
      <c r="G26" s="1635"/>
      <c r="H26" s="1636"/>
      <c r="I26" s="1636"/>
      <c r="J26" s="1637"/>
    </row>
    <row r="27" spans="1:10" s="360" customFormat="1" ht="12.75" customHeight="1" thickBot="1" x14ac:dyDescent="0.25">
      <c r="A27" s="357"/>
      <c r="B27" s="358">
        <f t="shared" si="1"/>
        <v>8</v>
      </c>
      <c r="C27" s="366"/>
      <c r="D27" s="359"/>
      <c r="E27" s="366"/>
      <c r="F27" s="359"/>
      <c r="G27" s="1635"/>
      <c r="H27" s="1636"/>
      <c r="I27" s="1636"/>
      <c r="J27" s="1637"/>
    </row>
    <row r="28" spans="1:10" s="360" customFormat="1" ht="12.75" customHeight="1" thickBot="1" x14ac:dyDescent="0.25">
      <c r="A28" s="357"/>
      <c r="B28" s="358">
        <f t="shared" si="1"/>
        <v>9</v>
      </c>
      <c r="C28" s="366"/>
      <c r="D28" s="359"/>
      <c r="E28" s="366"/>
      <c r="F28" s="359"/>
      <c r="G28" s="1635"/>
      <c r="H28" s="1636"/>
      <c r="I28" s="1636"/>
      <c r="J28" s="1637"/>
    </row>
    <row r="29" spans="1:10" s="360" customFormat="1" ht="12.75" customHeight="1" thickBot="1" x14ac:dyDescent="0.25">
      <c r="A29" s="357"/>
      <c r="B29" s="358">
        <f t="shared" si="1"/>
        <v>10</v>
      </c>
      <c r="C29" s="366"/>
      <c r="D29" s="359"/>
      <c r="E29" s="366"/>
      <c r="F29" s="359"/>
      <c r="G29" s="1639"/>
      <c r="H29" s="1640"/>
      <c r="I29" s="1640"/>
      <c r="J29" s="1641"/>
    </row>
    <row r="30" spans="1:10" ht="12.75" customHeight="1" x14ac:dyDescent="0.25">
      <c r="A30" s="361"/>
      <c r="B30" s="362"/>
      <c r="C30" s="349" t="s">
        <v>57</v>
      </c>
      <c r="D30" s="352"/>
      <c r="E30" s="363">
        <f>SUM(E19:E29)</f>
        <v>0</v>
      </c>
      <c r="F30" s="352"/>
    </row>
    <row r="31" spans="1:10" ht="12.75" customHeight="1" x14ac:dyDescent="0.25">
      <c r="D31" s="352"/>
      <c r="F31" s="352"/>
    </row>
    <row r="32" spans="1:10" ht="12.75" customHeight="1" thickBot="1" x14ac:dyDescent="0.3">
      <c r="D32" s="352"/>
      <c r="F32" s="352"/>
    </row>
    <row r="33" spans="1:10" ht="12.75" customHeight="1" thickBot="1" x14ac:dyDescent="0.3">
      <c r="A33" s="354"/>
      <c r="B33" s="355" t="s">
        <v>58</v>
      </c>
      <c r="C33" s="332"/>
      <c r="D33" s="352"/>
      <c r="F33" s="352"/>
      <c r="G33" s="1632"/>
      <c r="H33" s="1633"/>
      <c r="I33" s="1633"/>
      <c r="J33" s="1634"/>
    </row>
    <row r="34" spans="1:10" s="360" customFormat="1" ht="12.75" customHeight="1" thickBot="1" x14ac:dyDescent="0.25">
      <c r="A34" s="357"/>
      <c r="B34" s="358">
        <v>1</v>
      </c>
      <c r="C34" s="366"/>
      <c r="D34" s="359"/>
      <c r="E34" s="366"/>
      <c r="F34" s="359"/>
      <c r="G34" s="1635"/>
      <c r="H34" s="1636"/>
      <c r="I34" s="1636"/>
      <c r="J34" s="1637"/>
    </row>
    <row r="35" spans="1:10" s="360" customFormat="1" ht="12.75" customHeight="1" thickBot="1" x14ac:dyDescent="0.25">
      <c r="A35" s="357"/>
      <c r="B35" s="358">
        <f t="shared" ref="B35:B43" si="2">B34+1</f>
        <v>2</v>
      </c>
      <c r="C35" s="366"/>
      <c r="D35" s="359"/>
      <c r="E35" s="366"/>
      <c r="F35" s="359"/>
      <c r="G35" s="1635"/>
      <c r="H35" s="1636"/>
      <c r="I35" s="1636"/>
      <c r="J35" s="1638"/>
    </row>
    <row r="36" spans="1:10" s="360" customFormat="1" ht="12.75" customHeight="1" thickBot="1" x14ac:dyDescent="0.25">
      <c r="A36" s="357"/>
      <c r="B36" s="358">
        <f t="shared" si="2"/>
        <v>3</v>
      </c>
      <c r="C36" s="366"/>
      <c r="D36" s="359"/>
      <c r="E36" s="366"/>
      <c r="F36" s="359"/>
      <c r="G36" s="1635"/>
      <c r="H36" s="1636"/>
      <c r="I36" s="1636"/>
      <c r="J36" s="1638"/>
    </row>
    <row r="37" spans="1:10" s="360" customFormat="1" ht="12.75" customHeight="1" thickBot="1" x14ac:dyDescent="0.25">
      <c r="A37" s="357"/>
      <c r="B37" s="358">
        <f t="shared" si="2"/>
        <v>4</v>
      </c>
      <c r="C37" s="366"/>
      <c r="D37" s="359"/>
      <c r="E37" s="366"/>
      <c r="F37" s="359"/>
      <c r="G37" s="1635"/>
      <c r="H37" s="1636"/>
      <c r="I37" s="1636"/>
      <c r="J37" s="1638"/>
    </row>
    <row r="38" spans="1:10" s="360" customFormat="1" ht="12.75" customHeight="1" thickBot="1" x14ac:dyDescent="0.25">
      <c r="A38" s="357"/>
      <c r="B38" s="358">
        <f t="shared" si="2"/>
        <v>5</v>
      </c>
      <c r="C38" s="366"/>
      <c r="D38" s="359"/>
      <c r="E38" s="366"/>
      <c r="F38" s="359"/>
      <c r="G38" s="1635"/>
      <c r="H38" s="1636"/>
      <c r="I38" s="1636"/>
      <c r="J38" s="1638"/>
    </row>
    <row r="39" spans="1:10" s="360" customFormat="1" ht="12.75" customHeight="1" thickBot="1" x14ac:dyDescent="0.25">
      <c r="A39" s="357"/>
      <c r="B39" s="358">
        <f t="shared" si="2"/>
        <v>6</v>
      </c>
      <c r="C39" s="366"/>
      <c r="D39" s="359"/>
      <c r="E39" s="366"/>
      <c r="F39" s="359"/>
      <c r="G39" s="1635"/>
      <c r="H39" s="1636"/>
      <c r="I39" s="1636"/>
      <c r="J39" s="1638"/>
    </row>
    <row r="40" spans="1:10" s="360" customFormat="1" ht="12.75" customHeight="1" thickBot="1" x14ac:dyDescent="0.25">
      <c r="A40" s="357"/>
      <c r="B40" s="358">
        <f t="shared" si="2"/>
        <v>7</v>
      </c>
      <c r="C40" s="366"/>
      <c r="D40" s="359"/>
      <c r="E40" s="366"/>
      <c r="F40" s="359"/>
      <c r="G40" s="1635"/>
      <c r="H40" s="1636"/>
      <c r="I40" s="1636"/>
      <c r="J40" s="1637"/>
    </row>
    <row r="41" spans="1:10" s="360" customFormat="1" ht="12.75" customHeight="1" thickBot="1" x14ac:dyDescent="0.25">
      <c r="A41" s="357"/>
      <c r="B41" s="358">
        <f t="shared" si="2"/>
        <v>8</v>
      </c>
      <c r="C41" s="366"/>
      <c r="D41" s="359"/>
      <c r="E41" s="366"/>
      <c r="F41" s="359"/>
      <c r="G41" s="1635"/>
      <c r="H41" s="1636"/>
      <c r="I41" s="1636"/>
      <c r="J41" s="1637"/>
    </row>
    <row r="42" spans="1:10" s="360" customFormat="1" ht="12.75" customHeight="1" thickBot="1" x14ac:dyDescent="0.25">
      <c r="A42" s="357"/>
      <c r="B42" s="358">
        <f t="shared" si="2"/>
        <v>9</v>
      </c>
      <c r="C42" s="366"/>
      <c r="D42" s="359"/>
      <c r="E42" s="366"/>
      <c r="F42" s="359"/>
      <c r="G42" s="1635"/>
      <c r="H42" s="1636"/>
      <c r="I42" s="1636"/>
      <c r="J42" s="1637"/>
    </row>
    <row r="43" spans="1:10" s="360" customFormat="1" ht="12.75" customHeight="1" thickBot="1" x14ac:dyDescent="0.25">
      <c r="A43" s="357"/>
      <c r="B43" s="358">
        <f t="shared" si="2"/>
        <v>10</v>
      </c>
      <c r="C43" s="366"/>
      <c r="D43" s="359"/>
      <c r="E43" s="366"/>
      <c r="F43" s="359"/>
      <c r="G43" s="1639"/>
      <c r="H43" s="1640"/>
      <c r="I43" s="1640"/>
      <c r="J43" s="1641"/>
    </row>
    <row r="44" spans="1:10" ht="12.75" customHeight="1" x14ac:dyDescent="0.25">
      <c r="A44" s="361"/>
      <c r="B44" s="362"/>
      <c r="C44" s="364" t="s">
        <v>231</v>
      </c>
      <c r="D44" s="352"/>
      <c r="E44" s="363">
        <f>SUM(E33:E43)</f>
        <v>0</v>
      </c>
      <c r="F44" s="352"/>
    </row>
    <row r="45" spans="1:10" ht="12.75" customHeight="1" x14ac:dyDescent="0.25">
      <c r="A45" s="361"/>
      <c r="B45" s="362"/>
      <c r="C45" s="364"/>
      <c r="D45" s="352"/>
      <c r="E45" s="365"/>
      <c r="F45" s="352"/>
    </row>
    <row r="46" spans="1:10" ht="12.75" customHeight="1" thickBot="1" x14ac:dyDescent="0.3">
      <c r="D46" s="352"/>
      <c r="F46" s="352"/>
    </row>
    <row r="47" spans="1:10" ht="13.5" customHeight="1" thickBot="1" x14ac:dyDescent="0.3">
      <c r="A47" s="354"/>
      <c r="B47" s="355" t="s">
        <v>629</v>
      </c>
      <c r="C47" s="332"/>
      <c r="D47" s="352"/>
      <c r="F47" s="352"/>
      <c r="G47" s="1632"/>
      <c r="H47" s="1633"/>
      <c r="I47" s="1633"/>
      <c r="J47" s="1634"/>
    </row>
    <row r="48" spans="1:10" s="360" customFormat="1" ht="12.75" customHeight="1" thickBot="1" x14ac:dyDescent="0.25">
      <c r="A48" s="357"/>
      <c r="B48" s="358">
        <v>1</v>
      </c>
      <c r="C48" s="366"/>
      <c r="D48" s="359"/>
      <c r="E48" s="366"/>
      <c r="F48" s="359"/>
      <c r="G48" s="1635"/>
      <c r="H48" s="1636"/>
      <c r="I48" s="1636"/>
      <c r="J48" s="1637"/>
    </row>
    <row r="49" spans="1:10" s="360" customFormat="1" ht="12.75" customHeight="1" thickBot="1" x14ac:dyDescent="0.25">
      <c r="A49" s="357"/>
      <c r="B49" s="358">
        <f t="shared" ref="B49:B57" si="3">B48+1</f>
        <v>2</v>
      </c>
      <c r="C49" s="366"/>
      <c r="D49" s="359"/>
      <c r="E49" s="366"/>
      <c r="F49" s="359"/>
      <c r="G49" s="1635"/>
      <c r="H49" s="1636"/>
      <c r="I49" s="1636"/>
      <c r="J49" s="1638"/>
    </row>
    <row r="50" spans="1:10" s="360" customFormat="1" ht="12.75" customHeight="1" thickBot="1" x14ac:dyDescent="0.25">
      <c r="A50" s="357"/>
      <c r="B50" s="358">
        <f t="shared" si="3"/>
        <v>3</v>
      </c>
      <c r="C50" s="366"/>
      <c r="D50" s="359"/>
      <c r="E50" s="366"/>
      <c r="F50" s="359"/>
      <c r="G50" s="1635"/>
      <c r="H50" s="1636"/>
      <c r="I50" s="1636"/>
      <c r="J50" s="1638"/>
    </row>
    <row r="51" spans="1:10" s="360" customFormat="1" ht="12.75" customHeight="1" thickBot="1" x14ac:dyDescent="0.25">
      <c r="A51" s="357"/>
      <c r="B51" s="358">
        <f t="shared" si="3"/>
        <v>4</v>
      </c>
      <c r="C51" s="366"/>
      <c r="D51" s="359"/>
      <c r="E51" s="366"/>
      <c r="F51" s="359"/>
      <c r="G51" s="1635"/>
      <c r="H51" s="1636"/>
      <c r="I51" s="1636"/>
      <c r="J51" s="1638"/>
    </row>
    <row r="52" spans="1:10" s="360" customFormat="1" ht="12.75" customHeight="1" thickBot="1" x14ac:dyDescent="0.25">
      <c r="A52" s="357"/>
      <c r="B52" s="358">
        <f t="shared" si="3"/>
        <v>5</v>
      </c>
      <c r="C52" s="366"/>
      <c r="D52" s="359"/>
      <c r="E52" s="366"/>
      <c r="F52" s="359"/>
      <c r="G52" s="1635"/>
      <c r="H52" s="1636"/>
      <c r="I52" s="1636"/>
      <c r="J52" s="1638"/>
    </row>
    <row r="53" spans="1:10" s="360" customFormat="1" ht="12.75" customHeight="1" thickBot="1" x14ac:dyDescent="0.25">
      <c r="A53" s="357"/>
      <c r="B53" s="358">
        <f t="shared" si="3"/>
        <v>6</v>
      </c>
      <c r="C53" s="366"/>
      <c r="D53" s="359"/>
      <c r="E53" s="366"/>
      <c r="F53" s="359"/>
      <c r="G53" s="1635"/>
      <c r="H53" s="1636"/>
      <c r="I53" s="1636"/>
      <c r="J53" s="1638"/>
    </row>
    <row r="54" spans="1:10" s="360" customFormat="1" ht="12.75" customHeight="1" thickBot="1" x14ac:dyDescent="0.25">
      <c r="A54" s="357"/>
      <c r="B54" s="358">
        <f t="shared" si="3"/>
        <v>7</v>
      </c>
      <c r="C54" s="366"/>
      <c r="D54" s="359"/>
      <c r="E54" s="366"/>
      <c r="F54" s="359"/>
      <c r="G54" s="1635"/>
      <c r="H54" s="1636"/>
      <c r="I54" s="1636"/>
      <c r="J54" s="1638"/>
    </row>
    <row r="55" spans="1:10" s="360" customFormat="1" ht="12.75" customHeight="1" thickBot="1" x14ac:dyDescent="0.25">
      <c r="A55" s="357"/>
      <c r="B55" s="358">
        <f t="shared" si="3"/>
        <v>8</v>
      </c>
      <c r="C55" s="366"/>
      <c r="D55" s="359"/>
      <c r="E55" s="366"/>
      <c r="F55" s="359"/>
      <c r="G55" s="1635"/>
      <c r="H55" s="1636"/>
      <c r="I55" s="1636"/>
      <c r="J55" s="1638"/>
    </row>
    <row r="56" spans="1:10" s="360" customFormat="1" ht="12.75" customHeight="1" thickBot="1" x14ac:dyDescent="0.25">
      <c r="A56" s="357"/>
      <c r="B56" s="358">
        <f t="shared" si="3"/>
        <v>9</v>
      </c>
      <c r="C56" s="366"/>
      <c r="D56" s="359"/>
      <c r="E56" s="366"/>
      <c r="F56" s="359"/>
      <c r="G56" s="1635"/>
      <c r="H56" s="1636"/>
      <c r="I56" s="1636"/>
      <c r="J56" s="1637"/>
    </row>
    <row r="57" spans="1:10" s="360" customFormat="1" ht="12.75" customHeight="1" thickBot="1" x14ac:dyDescent="0.25">
      <c r="A57" s="357"/>
      <c r="B57" s="358">
        <f t="shared" si="3"/>
        <v>10</v>
      </c>
      <c r="C57" s="366"/>
      <c r="D57" s="359"/>
      <c r="E57" s="366"/>
      <c r="F57" s="359"/>
      <c r="G57" s="1639"/>
      <c r="H57" s="1640"/>
      <c r="I57" s="1640"/>
      <c r="J57" s="1641"/>
    </row>
    <row r="58" spans="1:10" ht="12.75" customHeight="1" x14ac:dyDescent="0.25">
      <c r="A58" s="361"/>
      <c r="B58" s="362"/>
      <c r="C58" s="364" t="s">
        <v>59</v>
      </c>
      <c r="D58" s="352"/>
      <c r="E58" s="363">
        <f>SUM(E47:E57)</f>
        <v>0</v>
      </c>
      <c r="F58" s="352"/>
    </row>
    <row r="59" spans="1:10" ht="12.75" customHeight="1" thickBot="1" x14ac:dyDescent="0.3">
      <c r="A59" s="361"/>
      <c r="B59" s="362"/>
      <c r="C59" s="364"/>
      <c r="D59" s="352"/>
      <c r="E59" s="365"/>
      <c r="F59" s="352"/>
    </row>
    <row r="60" spans="1:10" ht="13.5" customHeight="1" thickBot="1" x14ac:dyDescent="0.3">
      <c r="A60" s="354"/>
      <c r="B60" s="355" t="s">
        <v>61</v>
      </c>
      <c r="C60" s="332"/>
      <c r="D60" s="352"/>
      <c r="F60" s="352"/>
      <c r="G60" s="1632"/>
      <c r="H60" s="1633"/>
      <c r="I60" s="1633"/>
      <c r="J60" s="1634"/>
    </row>
    <row r="61" spans="1:10" s="360" customFormat="1" ht="12.75" customHeight="1" thickBot="1" x14ac:dyDescent="0.25">
      <c r="A61" s="357"/>
      <c r="B61" s="358">
        <v>1</v>
      </c>
      <c r="C61" s="366"/>
      <c r="D61" s="359"/>
      <c r="E61" s="366"/>
      <c r="F61" s="359"/>
      <c r="G61" s="1635"/>
      <c r="H61" s="1636"/>
      <c r="I61" s="1636"/>
      <c r="J61" s="1637"/>
    </row>
    <row r="62" spans="1:10" s="360" customFormat="1" ht="12.75" customHeight="1" thickBot="1" x14ac:dyDescent="0.25">
      <c r="A62" s="357"/>
      <c r="B62" s="358">
        <f t="shared" ref="B62:B70" si="4">B61+1</f>
        <v>2</v>
      </c>
      <c r="C62" s="366"/>
      <c r="D62" s="359"/>
      <c r="E62" s="366"/>
      <c r="F62" s="359"/>
      <c r="G62" s="1635"/>
      <c r="H62" s="1636"/>
      <c r="I62" s="1636"/>
      <c r="J62" s="1638"/>
    </row>
    <row r="63" spans="1:10" s="360" customFormat="1" ht="12.75" customHeight="1" thickBot="1" x14ac:dyDescent="0.25">
      <c r="A63" s="357"/>
      <c r="B63" s="358">
        <f t="shared" si="4"/>
        <v>3</v>
      </c>
      <c r="C63" s="366"/>
      <c r="D63" s="359"/>
      <c r="E63" s="366"/>
      <c r="F63" s="359"/>
      <c r="G63" s="1635"/>
      <c r="H63" s="1636"/>
      <c r="I63" s="1636"/>
      <c r="J63" s="1638"/>
    </row>
    <row r="64" spans="1:10" s="360" customFormat="1" ht="12.75" customHeight="1" thickBot="1" x14ac:dyDescent="0.25">
      <c r="A64" s="357"/>
      <c r="B64" s="358">
        <f t="shared" si="4"/>
        <v>4</v>
      </c>
      <c r="C64" s="366"/>
      <c r="D64" s="359"/>
      <c r="E64" s="366"/>
      <c r="F64" s="359"/>
      <c r="G64" s="1635"/>
      <c r="H64" s="1636"/>
      <c r="I64" s="1636"/>
      <c r="J64" s="1638"/>
    </row>
    <row r="65" spans="1:10" s="360" customFormat="1" ht="12.75" customHeight="1" thickBot="1" x14ac:dyDescent="0.25">
      <c r="A65" s="357"/>
      <c r="B65" s="358">
        <f t="shared" si="4"/>
        <v>5</v>
      </c>
      <c r="C65" s="366"/>
      <c r="D65" s="359"/>
      <c r="E65" s="366"/>
      <c r="F65" s="359"/>
      <c r="G65" s="1635"/>
      <c r="H65" s="1636"/>
      <c r="I65" s="1636"/>
      <c r="J65" s="1638"/>
    </row>
    <row r="66" spans="1:10" s="360" customFormat="1" ht="12.75" customHeight="1" thickBot="1" x14ac:dyDescent="0.25">
      <c r="A66" s="357"/>
      <c r="B66" s="358">
        <f t="shared" si="4"/>
        <v>6</v>
      </c>
      <c r="C66" s="366"/>
      <c r="D66" s="359"/>
      <c r="E66" s="366"/>
      <c r="F66" s="359"/>
      <c r="G66" s="1635"/>
      <c r="H66" s="1636"/>
      <c r="I66" s="1636"/>
      <c r="J66" s="1638"/>
    </row>
    <row r="67" spans="1:10" s="360" customFormat="1" ht="12.75" customHeight="1" thickBot="1" x14ac:dyDescent="0.25">
      <c r="A67" s="357"/>
      <c r="B67" s="358">
        <f t="shared" si="4"/>
        <v>7</v>
      </c>
      <c r="C67" s="366"/>
      <c r="D67" s="359"/>
      <c r="E67" s="366"/>
      <c r="F67" s="359"/>
      <c r="G67" s="1635"/>
      <c r="H67" s="1636"/>
      <c r="I67" s="1636"/>
      <c r="J67" s="1638"/>
    </row>
    <row r="68" spans="1:10" s="360" customFormat="1" ht="12.75" customHeight="1" thickBot="1" x14ac:dyDescent="0.25">
      <c r="A68" s="357"/>
      <c r="B68" s="358">
        <f t="shared" si="4"/>
        <v>8</v>
      </c>
      <c r="C68" s="366"/>
      <c r="D68" s="359"/>
      <c r="E68" s="366"/>
      <c r="F68" s="359"/>
      <c r="G68" s="1635"/>
      <c r="H68" s="1636"/>
      <c r="I68" s="1636"/>
      <c r="J68" s="1638"/>
    </row>
    <row r="69" spans="1:10" s="360" customFormat="1" ht="12.75" customHeight="1" thickBot="1" x14ac:dyDescent="0.25">
      <c r="A69" s="357"/>
      <c r="B69" s="358">
        <f t="shared" si="4"/>
        <v>9</v>
      </c>
      <c r="C69" s="366"/>
      <c r="D69" s="359"/>
      <c r="E69" s="366"/>
      <c r="F69" s="359"/>
      <c r="G69" s="1635"/>
      <c r="H69" s="1636"/>
      <c r="I69" s="1636"/>
      <c r="J69" s="1637"/>
    </row>
    <row r="70" spans="1:10" s="360" customFormat="1" ht="12.75" customHeight="1" thickBot="1" x14ac:dyDescent="0.25">
      <c r="A70" s="357"/>
      <c r="B70" s="358">
        <f t="shared" si="4"/>
        <v>10</v>
      </c>
      <c r="C70" s="366"/>
      <c r="D70" s="359"/>
      <c r="E70" s="366"/>
      <c r="F70" s="359"/>
      <c r="G70" s="1639"/>
      <c r="H70" s="1640"/>
      <c r="I70" s="1640"/>
      <c r="J70" s="1641"/>
    </row>
    <row r="71" spans="1:10" ht="12.75" customHeight="1" x14ac:dyDescent="0.25">
      <c r="A71" s="361"/>
      <c r="B71" s="362"/>
      <c r="C71" s="349" t="s">
        <v>62</v>
      </c>
      <c r="D71" s="352"/>
      <c r="E71" s="363">
        <f>SUM(E60:E70)</f>
        <v>0</v>
      </c>
      <c r="F71" s="352"/>
    </row>
    <row r="72" spans="1:10" ht="12.75" customHeight="1" x14ac:dyDescent="0.25">
      <c r="D72" s="352"/>
      <c r="F72" s="352"/>
    </row>
    <row r="73" spans="1:10" ht="12.75" customHeight="1" thickBot="1" x14ac:dyDescent="0.3">
      <c r="D73" s="352"/>
      <c r="F73" s="352"/>
    </row>
    <row r="74" spans="1:10" ht="12.75" customHeight="1" thickBot="1" x14ac:dyDescent="0.3">
      <c r="A74" s="354"/>
      <c r="B74" s="355" t="s">
        <v>244</v>
      </c>
      <c r="C74" s="332"/>
      <c r="D74" s="352"/>
      <c r="F74" s="352"/>
      <c r="G74" s="1632"/>
      <c r="H74" s="1633"/>
      <c r="I74" s="1633"/>
      <c r="J74" s="1634"/>
    </row>
    <row r="75" spans="1:10" s="360" customFormat="1" ht="12.75" customHeight="1" thickBot="1" x14ac:dyDescent="0.25">
      <c r="A75" s="357"/>
      <c r="B75" s="358">
        <v>1</v>
      </c>
      <c r="C75" s="366"/>
      <c r="D75" s="359"/>
      <c r="E75" s="366"/>
      <c r="F75" s="359"/>
      <c r="G75" s="1635"/>
      <c r="H75" s="1636"/>
      <c r="I75" s="1636"/>
      <c r="J75" s="1637"/>
    </row>
    <row r="76" spans="1:10" s="360" customFormat="1" ht="12.75" customHeight="1" thickBot="1" x14ac:dyDescent="0.25">
      <c r="A76" s="357"/>
      <c r="B76" s="358">
        <f t="shared" ref="B76:B84" si="5">B75+1</f>
        <v>2</v>
      </c>
      <c r="C76" s="366"/>
      <c r="D76" s="359"/>
      <c r="E76" s="366"/>
      <c r="F76" s="359"/>
      <c r="G76" s="1635"/>
      <c r="H76" s="1636"/>
      <c r="I76" s="1636"/>
      <c r="J76" s="1638"/>
    </row>
    <row r="77" spans="1:10" s="360" customFormat="1" ht="12.75" customHeight="1" thickBot="1" x14ac:dyDescent="0.25">
      <c r="A77" s="357"/>
      <c r="B77" s="358">
        <f t="shared" si="5"/>
        <v>3</v>
      </c>
      <c r="C77" s="366"/>
      <c r="D77" s="359"/>
      <c r="E77" s="366"/>
      <c r="F77" s="359"/>
      <c r="G77" s="1635"/>
      <c r="H77" s="1636"/>
      <c r="I77" s="1636"/>
      <c r="J77" s="1638"/>
    </row>
    <row r="78" spans="1:10" s="360" customFormat="1" ht="12.75" customHeight="1" thickBot="1" x14ac:dyDescent="0.25">
      <c r="A78" s="357"/>
      <c r="B78" s="358">
        <f t="shared" si="5"/>
        <v>4</v>
      </c>
      <c r="C78" s="366"/>
      <c r="D78" s="359"/>
      <c r="E78" s="366"/>
      <c r="F78" s="359"/>
      <c r="G78" s="1635"/>
      <c r="H78" s="1636"/>
      <c r="I78" s="1636"/>
      <c r="J78" s="1638"/>
    </row>
    <row r="79" spans="1:10" s="360" customFormat="1" ht="12.75" customHeight="1" thickBot="1" x14ac:dyDescent="0.25">
      <c r="A79" s="357"/>
      <c r="B79" s="358">
        <f t="shared" si="5"/>
        <v>5</v>
      </c>
      <c r="C79" s="366"/>
      <c r="D79" s="359"/>
      <c r="E79" s="366"/>
      <c r="F79" s="359"/>
      <c r="G79" s="1635"/>
      <c r="H79" s="1636"/>
      <c r="I79" s="1636"/>
      <c r="J79" s="1638"/>
    </row>
    <row r="80" spans="1:10" s="360" customFormat="1" ht="12.75" customHeight="1" thickBot="1" x14ac:dyDescent="0.25">
      <c r="A80" s="357"/>
      <c r="B80" s="358">
        <f t="shared" si="5"/>
        <v>6</v>
      </c>
      <c r="C80" s="366"/>
      <c r="D80" s="359"/>
      <c r="E80" s="366"/>
      <c r="F80" s="359"/>
      <c r="G80" s="1635"/>
      <c r="H80" s="1636"/>
      <c r="I80" s="1636"/>
      <c r="J80" s="1638"/>
    </row>
    <row r="81" spans="1:10" s="360" customFormat="1" ht="12.75" customHeight="1" thickBot="1" x14ac:dyDescent="0.25">
      <c r="A81" s="357"/>
      <c r="B81" s="358">
        <f t="shared" si="5"/>
        <v>7</v>
      </c>
      <c r="C81" s="366"/>
      <c r="D81" s="359"/>
      <c r="E81" s="366"/>
      <c r="F81" s="359"/>
      <c r="G81" s="1635"/>
      <c r="H81" s="1636"/>
      <c r="I81" s="1636"/>
      <c r="J81" s="1638"/>
    </row>
    <row r="82" spans="1:10" s="360" customFormat="1" ht="13.5" customHeight="1" thickBot="1" x14ac:dyDescent="0.25">
      <c r="A82" s="357"/>
      <c r="B82" s="358">
        <f t="shared" si="5"/>
        <v>8</v>
      </c>
      <c r="C82" s="366"/>
      <c r="D82" s="359"/>
      <c r="E82" s="366"/>
      <c r="F82" s="359"/>
      <c r="G82" s="1635"/>
      <c r="H82" s="1636"/>
      <c r="I82" s="1636"/>
      <c r="J82" s="1638"/>
    </row>
    <row r="83" spans="1:10" s="360" customFormat="1" ht="12.75" customHeight="1" thickBot="1" x14ac:dyDescent="0.25">
      <c r="A83" s="357"/>
      <c r="B83" s="358">
        <f t="shared" si="5"/>
        <v>9</v>
      </c>
      <c r="C83" s="366"/>
      <c r="D83" s="359"/>
      <c r="E83" s="366"/>
      <c r="F83" s="359"/>
      <c r="G83" s="1635"/>
      <c r="H83" s="1636"/>
      <c r="I83" s="1636"/>
      <c r="J83" s="1637"/>
    </row>
    <row r="84" spans="1:10" s="360" customFormat="1" ht="12.75" customHeight="1" thickBot="1" x14ac:dyDescent="0.25">
      <c r="A84" s="357"/>
      <c r="B84" s="358">
        <f t="shared" si="5"/>
        <v>10</v>
      </c>
      <c r="C84" s="366"/>
      <c r="D84" s="359"/>
      <c r="E84" s="366"/>
      <c r="F84" s="359"/>
      <c r="G84" s="1639"/>
      <c r="H84" s="1640"/>
      <c r="I84" s="1640"/>
      <c r="J84" s="1641"/>
    </row>
    <row r="85" spans="1:10" ht="12.75" customHeight="1" x14ac:dyDescent="0.25">
      <c r="A85" s="361"/>
      <c r="B85" s="362"/>
      <c r="C85" s="349" t="s">
        <v>245</v>
      </c>
      <c r="D85" s="352"/>
      <c r="E85" s="363">
        <f>SUM(E74:E84)</f>
        <v>0</v>
      </c>
      <c r="F85" s="352"/>
    </row>
    <row r="87" spans="1:10" s="248" customFormat="1" ht="24" customHeight="1" x14ac:dyDescent="0.25">
      <c r="A87" s="243"/>
      <c r="B87" s="243"/>
      <c r="C87" s="243"/>
      <c r="D87" s="243"/>
      <c r="E87" s="243"/>
      <c r="F87" s="243"/>
      <c r="G87" s="243"/>
      <c r="H87" s="243"/>
      <c r="J87" s="249"/>
    </row>
  </sheetData>
  <sheetProtection algorithmName="SHA-512" hashValue="X63fzihTsjD7nn3rXW7b8A34ooOe7rPTTxSzKNI6PkdqE8Bact0clVJJH77f01x85jG6I09yMwTi75gG5lI67g==" saltValue="ebTJu/OjFDtzJvwVjCBVCw==" spinCount="100000" sheet="1" objects="1" scenarios="1" selectLockedCells="1"/>
  <mergeCells count="6">
    <mergeCell ref="G19:J29"/>
    <mergeCell ref="G33:J43"/>
    <mergeCell ref="G60:J70"/>
    <mergeCell ref="G74:J84"/>
    <mergeCell ref="G5:J15"/>
    <mergeCell ref="G47:J57"/>
  </mergeCells>
  <phoneticPr fontId="11" type="noConversion"/>
  <printOptions horizontalCentered="1"/>
  <pageMargins left="0.5" right="0.5" top="0.5" bottom="0.5" header="0.5" footer="0.5"/>
  <pageSetup scale="6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dimension ref="A13:I48"/>
  <sheetViews>
    <sheetView showGridLines="0" topLeftCell="A4" zoomScale="90" zoomScaleNormal="90" zoomScaleSheetLayoutView="100" workbookViewId="0">
      <selection activeCell="I48" sqref="I48"/>
    </sheetView>
  </sheetViews>
  <sheetFormatPr defaultColWidth="8.88671875" defaultRowHeight="12.6" x14ac:dyDescent="0.25"/>
  <sheetData>
    <row r="13" spans="1:9" ht="30" x14ac:dyDescent="0.5">
      <c r="A13" s="5" t="s">
        <v>40</v>
      </c>
      <c r="B13" s="4"/>
      <c r="C13" s="4"/>
      <c r="D13" s="4"/>
      <c r="E13" s="4"/>
      <c r="F13" s="4"/>
      <c r="G13" s="4"/>
      <c r="H13" s="4"/>
      <c r="I13" s="1"/>
    </row>
    <row r="14" spans="1:9" ht="13.2" x14ac:dyDescent="0.25">
      <c r="A14" s="3"/>
      <c r="B14" s="4"/>
      <c r="C14" s="4"/>
      <c r="D14" s="4"/>
      <c r="E14" s="4"/>
      <c r="F14" s="4"/>
      <c r="G14" s="4"/>
      <c r="H14" s="4"/>
      <c r="I14" s="1"/>
    </row>
    <row r="15" spans="1:9" ht="30" x14ac:dyDescent="0.5">
      <c r="A15" s="5" t="str">
        <f>'Pre-app Cover'!A15</f>
        <v>2025-2026 FINANCING AND</v>
      </c>
      <c r="B15" s="4"/>
      <c r="C15" s="4"/>
      <c r="D15" s="4"/>
      <c r="E15" s="4"/>
      <c r="F15" s="4"/>
      <c r="G15" s="4"/>
      <c r="H15" s="4"/>
      <c r="I15" s="1"/>
    </row>
    <row r="16" spans="1:9" ht="13.2" x14ac:dyDescent="0.25">
      <c r="A16" s="3"/>
      <c r="B16" s="4"/>
      <c r="C16" s="4"/>
      <c r="D16" s="4"/>
      <c r="E16" s="4"/>
      <c r="F16" s="4"/>
      <c r="G16" s="4"/>
      <c r="H16" s="4"/>
      <c r="I16" s="1"/>
    </row>
    <row r="17" spans="1:9" ht="30" x14ac:dyDescent="0.5">
      <c r="A17" s="5" t="s">
        <v>1005</v>
      </c>
      <c r="B17" s="4"/>
      <c r="C17" s="4"/>
      <c r="D17" s="4"/>
      <c r="E17" s="4"/>
      <c r="F17" s="4"/>
      <c r="G17" s="4"/>
      <c r="H17" s="4"/>
      <c r="I17" s="1"/>
    </row>
    <row r="45" spans="1:9" ht="24" customHeight="1" x14ac:dyDescent="0.25">
      <c r="A45" s="295"/>
      <c r="B45" s="295"/>
      <c r="C45" s="295"/>
      <c r="D45" s="295"/>
      <c r="F45" s="296"/>
    </row>
    <row r="48" spans="1:9" x14ac:dyDescent="0.25">
      <c r="I48" s="531" t="str">
        <f>'Pre-app Cover'!I48</f>
        <v>Effective: October 1, 2024</v>
      </c>
    </row>
  </sheetData>
  <sheetProtection selectLockedCells="1" selectUnlockedCells="1"/>
  <pageMargins left="0.81" right="0.75" top="0.83" bottom="1" header="0.5" footer="0.5"/>
  <pageSetup orientation="portrait" r:id="rId1"/>
  <headerFooter alignWithMargins="0"/>
  <drawing r:id="rId2"/>
  <legacyDrawing r:id="rId3"/>
  <oleObjects>
    <mc:AlternateContent xmlns:mc="http://schemas.openxmlformats.org/markup-compatibility/2006">
      <mc:Choice Requires="x14">
        <oleObject progId="MSPhotoEd.3" shapeId="228353" r:id="rId4">
          <objectPr defaultSize="0" autoPict="0" r:id="rId5">
            <anchor moveWithCells="1">
              <from>
                <xdr:col>2</xdr:col>
                <xdr:colOff>190500</xdr:colOff>
                <xdr:row>5</xdr:row>
                <xdr:rowOff>68580</xdr:rowOff>
              </from>
              <to>
                <xdr:col>6</xdr:col>
                <xdr:colOff>419100</xdr:colOff>
                <xdr:row>8</xdr:row>
                <xdr:rowOff>106680</xdr:rowOff>
              </to>
            </anchor>
          </objectPr>
        </oleObject>
      </mc:Choice>
      <mc:Fallback>
        <oleObject progId="MSPhotoEd.3" shapeId="228353"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8"/>
  <dimension ref="A1:K53"/>
  <sheetViews>
    <sheetView showGridLines="0" zoomScale="110" zoomScaleNormal="110" zoomScaleSheetLayoutView="120" workbookViewId="0">
      <selection activeCell="F41" sqref="F41"/>
    </sheetView>
  </sheetViews>
  <sheetFormatPr defaultColWidth="9.109375" defaultRowHeight="13.2" x14ac:dyDescent="0.25"/>
  <cols>
    <col min="1" max="1" width="4.6640625" style="677" customWidth="1"/>
    <col min="2" max="2" width="12.109375" style="677" customWidth="1"/>
    <col min="3" max="3" width="4.6640625" style="677" customWidth="1"/>
    <col min="4" max="4" width="9.44140625" style="677" customWidth="1"/>
    <col min="5" max="5" width="4.6640625" style="677" customWidth="1"/>
    <col min="6" max="7" width="12.33203125" style="677" customWidth="1"/>
    <col min="8" max="8" width="4.6640625" style="677" customWidth="1"/>
    <col min="9" max="9" width="9.6640625" style="677" customWidth="1"/>
    <col min="10" max="10" width="4.6640625" style="677" customWidth="1"/>
    <col min="11" max="11" width="9.44140625" style="677" customWidth="1"/>
    <col min="12" max="13" width="9.44140625" style="677" bestFit="1" customWidth="1"/>
    <col min="14" max="15" width="9.109375" style="677"/>
    <col min="16" max="16" width="11.5546875" style="677" bestFit="1" customWidth="1"/>
    <col min="17" max="16384" width="9.109375" style="677"/>
  </cols>
  <sheetData>
    <row r="1" spans="1:11" s="306" customFormat="1" x14ac:dyDescent="0.25">
      <c r="A1" s="305" t="s">
        <v>588</v>
      </c>
      <c r="K1" s="534" t="str">
        <f>'Project Information'!D4</f>
        <v>Project Name</v>
      </c>
    </row>
    <row r="3" spans="1:11" x14ac:dyDescent="0.25">
      <c r="A3" s="730" t="s">
        <v>500</v>
      </c>
      <c r="C3" s="731" t="str">
        <f>'MH Underwriting'!E1</f>
        <v>Project Name</v>
      </c>
    </row>
    <row r="4" spans="1:11" x14ac:dyDescent="0.25">
      <c r="A4" s="730" t="s">
        <v>499</v>
      </c>
      <c r="C4" s="731">
        <f>'MH Underwriting'!E2</f>
        <v>0</v>
      </c>
    </row>
    <row r="6" spans="1:11" x14ac:dyDescent="0.25">
      <c r="A6" s="1481" t="s">
        <v>832</v>
      </c>
      <c r="B6" s="1481"/>
      <c r="C6" s="1481"/>
      <c r="D6" s="1481"/>
      <c r="E6" s="1481"/>
      <c r="F6" s="1481"/>
      <c r="G6" s="1481"/>
      <c r="H6" s="1481"/>
      <c r="I6" s="1481"/>
      <c r="J6" s="1481"/>
      <c r="K6" s="1481"/>
    </row>
    <row r="7" spans="1:11" ht="15.6" x14ac:dyDescent="0.3">
      <c r="K7" s="695"/>
    </row>
    <row r="8" spans="1:11" hidden="1" x14ac:dyDescent="0.25">
      <c r="K8" s="811" t="s">
        <v>1007</v>
      </c>
    </row>
    <row r="9" spans="1:11" hidden="1" x14ac:dyDescent="0.25">
      <c r="K9" s="811" t="s">
        <v>491</v>
      </c>
    </row>
    <row r="10" spans="1:11" ht="13.8" hidden="1" thickBot="1" x14ac:dyDescent="0.3">
      <c r="K10" s="952" t="s">
        <v>493</v>
      </c>
    </row>
    <row r="11" spans="1:11" x14ac:dyDescent="0.25">
      <c r="B11" s="919" t="s">
        <v>833</v>
      </c>
      <c r="F11" s="1689" t="str">
        <f>'Project Information'!D26</f>
        <v>Acquisition/Rehab</v>
      </c>
      <c r="G11" s="1689"/>
      <c r="I11" s="731"/>
      <c r="J11" s="731"/>
      <c r="K11" s="731"/>
    </row>
    <row r="12" spans="1:11" x14ac:dyDescent="0.25">
      <c r="B12" s="918"/>
      <c r="F12" s="1689"/>
      <c r="G12" s="1689"/>
    </row>
    <row r="13" spans="1:11" x14ac:dyDescent="0.25">
      <c r="B13" s="918"/>
    </row>
    <row r="14" spans="1:11" x14ac:dyDescent="0.25">
      <c r="B14" s="918"/>
    </row>
    <row r="15" spans="1:11" x14ac:dyDescent="0.25">
      <c r="B15" s="920" t="s">
        <v>618</v>
      </c>
      <c r="I15" s="921">
        <f>IF(B15=$F$11,1,IF($F$11="Acquisition/Rehab With Adaptive Reuse/Conversion",1-I17,IF($F$11="Adaptive Reuse/Conversion with New Construction",'Project Information'!D28/('Project Information'!I28+'Project Information'!D28),0)))</f>
        <v>0</v>
      </c>
    </row>
    <row r="16" spans="1:11" x14ac:dyDescent="0.25">
      <c r="B16" s="920" t="s">
        <v>703</v>
      </c>
      <c r="I16" s="921">
        <f>IF(B16=$F$11, 1,IF($F$11="Acquisition/Rehab With New Construction",'Project Information'!I28/('Project Information'!I28+'Project Information'!D28),IF($F$11="Adaptive Reuse/Conversion with New Construction",'Project Information'!I28/('Project Information'!I28+'Project Information'!D28),0)))</f>
        <v>0</v>
      </c>
    </row>
    <row r="17" spans="1:11" x14ac:dyDescent="0.25">
      <c r="B17" s="920" t="s">
        <v>540</v>
      </c>
      <c r="I17" s="921">
        <f>IF(B17=$F$11, 1,IF(OR($F$11="Acquisition/Rehab With New Construction",$F$11="Acquisition/Rehab With Adaptive Reuse/Conversion"),'Project Information'!D28/('Project Information'!I28+'Project Information'!D28),0))</f>
        <v>1</v>
      </c>
    </row>
    <row r="18" spans="1:11" x14ac:dyDescent="0.25">
      <c r="C18" s="733"/>
      <c r="I18" s="732"/>
    </row>
    <row r="19" spans="1:11" x14ac:dyDescent="0.25">
      <c r="B19" s="919" t="s">
        <v>835</v>
      </c>
    </row>
    <row r="20" spans="1:11" x14ac:dyDescent="0.25">
      <c r="B20" s="738"/>
    </row>
    <row r="21" spans="1:11" x14ac:dyDescent="0.25">
      <c r="B21" s="920" t="s">
        <v>836</v>
      </c>
      <c r="H21" s="1690">
        <v>395000</v>
      </c>
      <c r="I21" s="1690"/>
    </row>
    <row r="22" spans="1:11" x14ac:dyDescent="0.25">
      <c r="B22" s="920" t="s">
        <v>703</v>
      </c>
      <c r="H22" s="1690">
        <v>370000</v>
      </c>
      <c r="I22" s="1690"/>
    </row>
    <row r="23" spans="1:11" x14ac:dyDescent="0.25">
      <c r="B23" s="920" t="s">
        <v>540</v>
      </c>
      <c r="G23" s="735"/>
      <c r="H23" s="1690">
        <v>340000</v>
      </c>
      <c r="I23" s="1690"/>
    </row>
    <row r="24" spans="1:11" ht="8.1" customHeight="1" x14ac:dyDescent="0.25">
      <c r="A24" s="744"/>
      <c r="B24" s="744"/>
      <c r="C24" s="744"/>
      <c r="D24" s="744"/>
      <c r="E24" s="744"/>
      <c r="F24" s="744"/>
      <c r="G24" s="744"/>
      <c r="H24" s="744"/>
      <c r="I24" s="955"/>
      <c r="J24" s="744"/>
      <c r="K24" s="744"/>
    </row>
    <row r="25" spans="1:11" ht="8.1" customHeight="1" x14ac:dyDescent="0.25"/>
    <row r="27" spans="1:11" ht="12.75" customHeight="1" x14ac:dyDescent="0.25">
      <c r="A27" s="733" t="s">
        <v>1016</v>
      </c>
      <c r="F27" s="740">
        <f>'MH Underwriting'!P68</f>
        <v>0</v>
      </c>
    </row>
    <row r="28" spans="1:11" x14ac:dyDescent="0.25">
      <c r="A28" s="733"/>
    </row>
    <row r="29" spans="1:11" x14ac:dyDescent="0.25">
      <c r="A29" s="733"/>
    </row>
    <row r="30" spans="1:11" x14ac:dyDescent="0.25">
      <c r="A30" s="733" t="s">
        <v>837</v>
      </c>
    </row>
    <row r="31" spans="1:11" x14ac:dyDescent="0.25">
      <c r="A31" s="736" t="s">
        <v>1008</v>
      </c>
      <c r="F31" s="737">
        <f>'MH Underwriting'!H44+'MH Underwriting'!H36+IF('Project Information'!L4="Yes",'Project Costs &amp; Basis'!N34,0)</f>
        <v>0</v>
      </c>
    </row>
    <row r="32" spans="1:11" x14ac:dyDescent="0.25">
      <c r="A32" s="736" t="s">
        <v>424</v>
      </c>
      <c r="F32" s="737">
        <f>'MH Underwriting'!H57</f>
        <v>0</v>
      </c>
    </row>
    <row r="33" spans="1:11" x14ac:dyDescent="0.25">
      <c r="A33" s="736" t="s">
        <v>1009</v>
      </c>
      <c r="F33" s="737">
        <f>'MH Underwriting'!L68</f>
        <v>0</v>
      </c>
    </row>
    <row r="34" spans="1:11" x14ac:dyDescent="0.25">
      <c r="A34" s="738" t="s">
        <v>838</v>
      </c>
      <c r="F34" s="917">
        <f>IF('MH Underwriting'!V64&gt;'MH Underwriting'!V63,'MH Underwriting'!V64-'MH Underwriting'!V63,0)</f>
        <v>0</v>
      </c>
      <c r="J34" s="953"/>
    </row>
    <row r="35" spans="1:11" ht="8.1" customHeight="1" x14ac:dyDescent="0.25">
      <c r="A35" s="738"/>
      <c r="F35" s="737"/>
    </row>
    <row r="36" spans="1:11" x14ac:dyDescent="0.25">
      <c r="A36" s="739" t="s">
        <v>278</v>
      </c>
      <c r="F36" s="737">
        <f>SUM(F31:F34)</f>
        <v>0</v>
      </c>
    </row>
    <row r="39" spans="1:11" x14ac:dyDescent="0.25">
      <c r="A39" s="733" t="s">
        <v>839</v>
      </c>
      <c r="F39" s="740">
        <f>'MH Underwriting'!P68-F36</f>
        <v>0</v>
      </c>
      <c r="K39" s="734"/>
    </row>
    <row r="40" spans="1:11" x14ac:dyDescent="0.25">
      <c r="A40" s="733" t="s">
        <v>840</v>
      </c>
      <c r="F40" s="677">
        <f>'Project Income &amp; UA'!G57</f>
        <v>0</v>
      </c>
    </row>
    <row r="41" spans="1:11" x14ac:dyDescent="0.25">
      <c r="A41" s="733" t="s">
        <v>841</v>
      </c>
      <c r="F41" s="677">
        <f>SUMPRODUCT('Project Income &amp; UA'!$E$33:$E$55,'Project Income &amp; UA'!$G$33:$G$55)+SUMIFS('Project Income &amp; UA'!G33:G55,'Project Income &amp; UA'!E33:E55,0)</f>
        <v>0</v>
      </c>
    </row>
    <row r="42" spans="1:11" x14ac:dyDescent="0.25">
      <c r="A42" s="733"/>
    </row>
    <row r="43" spans="1:11" x14ac:dyDescent="0.25">
      <c r="A43" s="733" t="s">
        <v>842</v>
      </c>
      <c r="F43" s="737">
        <f>IF(F40=0,0,F39/F40)</f>
        <v>0</v>
      </c>
    </row>
    <row r="44" spans="1:11" x14ac:dyDescent="0.25">
      <c r="A44" s="733" t="s">
        <v>843</v>
      </c>
      <c r="F44" s="737">
        <f>IF(F41=0,0,F39/F41)</f>
        <v>0</v>
      </c>
    </row>
    <row r="45" spans="1:11" x14ac:dyDescent="0.25">
      <c r="A45" s="733"/>
    </row>
    <row r="46" spans="1:11" x14ac:dyDescent="0.25">
      <c r="A46" s="733" t="s">
        <v>844</v>
      </c>
      <c r="F46" s="741">
        <f>(F43*2+F44)/3</f>
        <v>0</v>
      </c>
      <c r="H46" s="677" t="s">
        <v>845</v>
      </c>
      <c r="K46" s="734">
        <f>I16*H22+I17*H23+I15*H21</f>
        <v>340000</v>
      </c>
    </row>
    <row r="47" spans="1:11" x14ac:dyDescent="0.25">
      <c r="A47" s="733"/>
      <c r="F47" s="741"/>
      <c r="K47" s="734"/>
    </row>
    <row r="48" spans="1:11" ht="8.1" customHeight="1" x14ac:dyDescent="0.25"/>
    <row r="49" spans="1:11" s="742" customFormat="1" ht="17.399999999999999" x14ac:dyDescent="0.3">
      <c r="A49" s="1688" t="str">
        <f>IF(F46&gt;K46,"WARNING:  COSTS ARE TOO HIGH, PROJECT IS NOT ELIGIBLE","")</f>
        <v/>
      </c>
      <c r="B49" s="1688"/>
      <c r="C49" s="1688"/>
      <c r="D49" s="1688"/>
      <c r="E49" s="1688"/>
      <c r="F49" s="1688"/>
      <c r="G49" s="1688"/>
      <c r="H49" s="1688"/>
      <c r="I49" s="1688"/>
      <c r="J49" s="1688"/>
      <c r="K49" s="1688"/>
    </row>
    <row r="53" spans="1:11" s="306" customFormat="1" ht="24" customHeight="1" x14ac:dyDescent="0.25">
      <c r="A53" s="307"/>
      <c r="B53" s="307"/>
      <c r="C53" s="307"/>
      <c r="D53" s="307"/>
      <c r="E53" s="307"/>
      <c r="F53" s="307"/>
      <c r="G53" s="307"/>
      <c r="H53" s="307"/>
      <c r="J53" s="308"/>
    </row>
  </sheetData>
  <sheetProtection algorithmName="SHA-512" hashValue="6ci1NlBL51ETC5/QeHKq0EAdLxVo/T+nuqvfqtINTBp/ECuCW3e/66tMeeikxaIzhpJR/9rfSWySEegZZDfk6w==" saltValue="ofW5MMHAFi67N/hQztg2Og==" spinCount="100000" sheet="1" objects="1" scenarios="1" selectLockedCells="1" selectUnlockedCells="1"/>
  <dataConsolidate link="1"/>
  <mergeCells count="6">
    <mergeCell ref="A49:K49"/>
    <mergeCell ref="A6:K6"/>
    <mergeCell ref="F11:G12"/>
    <mergeCell ref="H21:I21"/>
    <mergeCell ref="H22:I22"/>
    <mergeCell ref="H23:I23"/>
  </mergeCells>
  <dataValidations count="1">
    <dataValidation type="list" allowBlank="1" showInputMessage="1" showErrorMessage="1" sqref="K8:K10" xr:uid="{00000000-0002-0000-1600-000000000000}">
      <formula1>No</formula1>
    </dataValidation>
  </dataValidations>
  <printOptions horizontalCentered="1"/>
  <pageMargins left="0.75" right="0.75" top="0.5" bottom="0.5" header="0.5" footer="0.5"/>
  <pageSetup scale="9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dimension ref="A1:AB55"/>
  <sheetViews>
    <sheetView showGridLines="0" zoomScaleNormal="100" zoomScaleSheetLayoutView="110" workbookViewId="0">
      <selection activeCell="Y48" sqref="Y48"/>
    </sheetView>
  </sheetViews>
  <sheetFormatPr defaultColWidth="9.109375" defaultRowHeight="13.2" x14ac:dyDescent="0.25"/>
  <cols>
    <col min="1" max="1" width="3.6640625" style="6" customWidth="1"/>
    <col min="2" max="4" width="10.6640625" style="6" customWidth="1"/>
    <col min="5" max="5" width="9.5546875" style="6" bestFit="1" customWidth="1"/>
    <col min="6" max="7" width="1.6640625" style="6" customWidth="1"/>
    <col min="8" max="8" width="9.5546875" style="6" bestFit="1" customWidth="1"/>
    <col min="9" max="9" width="2.6640625" style="6" customWidth="1"/>
    <col min="10" max="10" width="9.5546875" style="6" bestFit="1" customWidth="1"/>
    <col min="11" max="11" width="2.6640625" style="6" customWidth="1"/>
    <col min="12" max="12" width="9.5546875" style="6" bestFit="1" customWidth="1"/>
    <col min="13" max="13" width="2.6640625" style="6" customWidth="1"/>
    <col min="14" max="14" width="9.5546875" style="6" customWidth="1"/>
    <col min="15" max="16" width="1.6640625" style="6" customWidth="1"/>
    <col min="17" max="17" width="9.5546875" style="6" bestFit="1" customWidth="1"/>
    <col min="18" max="18" width="2.6640625" style="6" customWidth="1"/>
    <col min="19" max="19" width="9.5546875" style="6" bestFit="1" customWidth="1"/>
    <col min="20" max="21" width="1.6640625" style="6" customWidth="1"/>
    <col min="22" max="25" width="9.109375" style="6"/>
    <col min="26" max="26" width="2.6640625" style="6" customWidth="1"/>
    <col min="27" max="16384" width="9.109375" style="6"/>
  </cols>
  <sheetData>
    <row r="1" spans="1:25" ht="12.75" customHeight="1" x14ac:dyDescent="0.25">
      <c r="A1" s="246" t="s">
        <v>588</v>
      </c>
      <c r="E1" s="10"/>
      <c r="U1" s="8"/>
      <c r="Y1" s="538" t="str">
        <f>'Project Information'!D4</f>
        <v>Project Name</v>
      </c>
    </row>
    <row r="2" spans="1:25" ht="12.75" customHeight="1" x14ac:dyDescent="0.25">
      <c r="A2" s="10"/>
      <c r="E2" s="24"/>
      <c r="L2" s="23"/>
      <c r="P2" s="1663"/>
      <c r="Q2" s="1663"/>
      <c r="R2" s="1663"/>
      <c r="S2" s="1663"/>
    </row>
    <row r="3" spans="1:25" ht="13.8" thickBot="1" x14ac:dyDescent="0.3">
      <c r="A3" s="41" t="s">
        <v>250</v>
      </c>
      <c r="B3" s="34"/>
      <c r="C3" s="34"/>
      <c r="Q3" s="50" t="s">
        <v>130</v>
      </c>
      <c r="S3" s="50" t="s">
        <v>130</v>
      </c>
      <c r="T3" s="50"/>
    </row>
    <row r="4" spans="1:25" hidden="1" x14ac:dyDescent="0.25">
      <c r="A4" s="41"/>
      <c r="B4" s="34"/>
      <c r="C4" s="34"/>
      <c r="D4" s="328" t="s">
        <v>491</v>
      </c>
      <c r="Q4" s="50"/>
      <c r="S4" s="50"/>
      <c r="T4" s="50"/>
    </row>
    <row r="5" spans="1:25" ht="13.8" hidden="1" thickBot="1" x14ac:dyDescent="0.3">
      <c r="A5" s="41"/>
      <c r="B5" s="34"/>
      <c r="C5" s="34"/>
      <c r="D5" s="328" t="s">
        <v>493</v>
      </c>
      <c r="Q5" s="50"/>
      <c r="S5" s="50"/>
      <c r="T5" s="50"/>
    </row>
    <row r="6" spans="1:25" ht="13.8" thickBot="1" x14ac:dyDescent="0.3">
      <c r="A6" s="41"/>
      <c r="B6" s="34" t="s">
        <v>246</v>
      </c>
      <c r="C6" s="34"/>
      <c r="D6" s="329" t="s">
        <v>493</v>
      </c>
      <c r="J6" s="34"/>
      <c r="K6" s="34"/>
      <c r="L6" s="34"/>
      <c r="Q6" s="35" t="s">
        <v>118</v>
      </c>
      <c r="S6" s="35" t="s">
        <v>131</v>
      </c>
      <c r="T6" s="35"/>
    </row>
    <row r="7" spans="1:25" ht="13.8" thickBot="1" x14ac:dyDescent="0.3">
      <c r="A7" s="41"/>
      <c r="B7" s="34"/>
      <c r="C7" s="34"/>
      <c r="D7" s="328" t="s">
        <v>596</v>
      </c>
      <c r="Q7" s="36"/>
      <c r="S7" s="36"/>
      <c r="T7" s="36"/>
    </row>
    <row r="8" spans="1:25" ht="13.8" thickBot="1" x14ac:dyDescent="0.3">
      <c r="A8" s="34"/>
      <c r="B8" s="34"/>
      <c r="C8" s="34"/>
      <c r="G8" s="251" t="s">
        <v>132</v>
      </c>
      <c r="J8" s="34"/>
      <c r="Q8" s="48">
        <f>'Project Costs &amp; Basis'!Q125</f>
        <v>0</v>
      </c>
      <c r="R8" s="26"/>
      <c r="S8" s="48">
        <f>'Project Costs &amp; Basis'!S125</f>
        <v>0</v>
      </c>
      <c r="T8" s="15"/>
    </row>
    <row r="9" spans="1:25" ht="13.8" thickBot="1" x14ac:dyDescent="0.3">
      <c r="A9" s="41" t="s">
        <v>164</v>
      </c>
      <c r="B9" s="34"/>
      <c r="C9" s="34"/>
      <c r="D9" s="37" t="str">
        <f>IF(D6="Yes",'Project Costs &amp; Basis'!E125,"")</f>
        <v/>
      </c>
      <c r="G9" s="252"/>
      <c r="H9" s="253" t="s">
        <v>237</v>
      </c>
      <c r="J9" s="9"/>
      <c r="Q9" s="34"/>
      <c r="S9" s="34"/>
      <c r="T9" s="34"/>
    </row>
    <row r="10" spans="1:25" x14ac:dyDescent="0.25">
      <c r="A10" s="34"/>
      <c r="B10" s="34"/>
      <c r="C10" s="34"/>
      <c r="G10" s="252"/>
      <c r="H10" s="253" t="s">
        <v>133</v>
      </c>
      <c r="J10" s="9"/>
      <c r="Q10" s="34"/>
      <c r="S10" s="34"/>
      <c r="T10" s="34"/>
    </row>
    <row r="11" spans="1:25" ht="13.8" thickBot="1" x14ac:dyDescent="0.3">
      <c r="A11" s="41" t="s">
        <v>242</v>
      </c>
      <c r="B11" s="34"/>
      <c r="G11" s="252"/>
      <c r="H11" s="253" t="s">
        <v>134</v>
      </c>
      <c r="J11" s="9"/>
      <c r="Q11" s="34"/>
      <c r="S11" s="34"/>
      <c r="T11" s="34"/>
    </row>
    <row r="12" spans="1:25" ht="13.8" thickBot="1" x14ac:dyDescent="0.3">
      <c r="A12" s="42"/>
      <c r="B12" s="1694" t="s">
        <v>683</v>
      </c>
      <c r="C12" s="1695"/>
      <c r="D12" s="31" t="str">
        <f>IF(D9="","",'Project Costs &amp; Basis'!E83)</f>
        <v/>
      </c>
      <c r="G12" s="252"/>
      <c r="H12" s="253" t="s">
        <v>66</v>
      </c>
      <c r="J12" s="1692"/>
      <c r="K12" s="1696"/>
      <c r="L12" s="1696"/>
      <c r="M12" s="1693"/>
      <c r="Q12" s="2"/>
      <c r="R12" s="47"/>
      <c r="S12" s="2"/>
      <c r="T12" s="18"/>
    </row>
    <row r="13" spans="1:25" ht="13.8" thickBot="1" x14ac:dyDescent="0.3">
      <c r="A13" s="42"/>
      <c r="B13" s="1692"/>
      <c r="C13" s="1693"/>
      <c r="D13" s="2"/>
      <c r="G13" s="252"/>
      <c r="H13" s="253" t="s">
        <v>238</v>
      </c>
      <c r="J13" s="9"/>
      <c r="Q13" s="239"/>
      <c r="R13" s="47"/>
      <c r="S13" s="239"/>
      <c r="T13" s="34"/>
    </row>
    <row r="14" spans="1:25" ht="13.8" thickBot="1" x14ac:dyDescent="0.3">
      <c r="A14" s="34"/>
      <c r="B14" s="1692"/>
      <c r="C14" s="1693"/>
      <c r="D14" s="2"/>
      <c r="G14" s="252"/>
      <c r="H14" s="253" t="s">
        <v>135</v>
      </c>
      <c r="J14" s="9"/>
      <c r="Q14" s="2"/>
      <c r="R14" s="47"/>
      <c r="S14" s="2"/>
      <c r="T14" s="18"/>
    </row>
    <row r="15" spans="1:25" ht="13.8" thickBot="1" x14ac:dyDescent="0.3">
      <c r="A15" s="34"/>
      <c r="B15" s="1692"/>
      <c r="C15" s="1693"/>
      <c r="D15" s="2"/>
      <c r="G15" s="252"/>
      <c r="H15" s="253" t="s">
        <v>239</v>
      </c>
      <c r="J15" s="9"/>
      <c r="Q15" s="239"/>
      <c r="R15" s="47"/>
      <c r="S15" s="239"/>
      <c r="T15" s="36"/>
    </row>
    <row r="16" spans="1:25" ht="13.8" thickBot="1" x14ac:dyDescent="0.3">
      <c r="A16" s="34"/>
      <c r="B16" s="1692"/>
      <c r="C16" s="1693"/>
      <c r="D16" s="2"/>
      <c r="G16" s="252"/>
      <c r="H16" s="253" t="s">
        <v>136</v>
      </c>
      <c r="J16" s="9"/>
      <c r="Q16" s="239"/>
      <c r="R16" s="47"/>
      <c r="S16" s="239"/>
      <c r="T16" s="34"/>
    </row>
    <row r="17" spans="1:25" ht="13.8" thickBot="1" x14ac:dyDescent="0.3">
      <c r="A17" s="34"/>
      <c r="B17" s="1692"/>
      <c r="C17" s="1693"/>
      <c r="D17" s="2"/>
      <c r="G17" s="252"/>
      <c r="H17" s="253" t="s">
        <v>137</v>
      </c>
      <c r="J17" s="9"/>
      <c r="Q17" s="2"/>
      <c r="R17" s="47"/>
      <c r="S17" s="2"/>
      <c r="T17" s="18"/>
    </row>
    <row r="18" spans="1:25" ht="13.8" thickBot="1" x14ac:dyDescent="0.3">
      <c r="A18" s="34"/>
      <c r="B18" s="1692"/>
      <c r="C18" s="1693"/>
      <c r="D18" s="2"/>
      <c r="G18" s="252"/>
      <c r="H18" s="253" t="s">
        <v>240</v>
      </c>
      <c r="J18" s="9"/>
      <c r="Q18" s="239"/>
      <c r="R18" s="47"/>
      <c r="S18" s="239"/>
      <c r="T18" s="34"/>
      <c r="V18" s="1711" t="str">
        <f>IF(D6="yes","Historic Tax Credit Amount will need to be adjusted manually each time the LIHTC amount changes","")</f>
        <v/>
      </c>
      <c r="W18" s="1711"/>
      <c r="X18" s="1711"/>
      <c r="Y18" s="1711"/>
    </row>
    <row r="19" spans="1:25" ht="13.8" thickBot="1" x14ac:dyDescent="0.3">
      <c r="A19" s="34"/>
      <c r="B19" s="1694" t="s">
        <v>226</v>
      </c>
      <c r="C19" s="1695"/>
      <c r="D19" s="31" t="str">
        <f>IF(D9="","",'Additional Prj Cost Information'!E85)</f>
        <v/>
      </c>
      <c r="G19" s="252"/>
      <c r="H19" s="253" t="s">
        <v>138</v>
      </c>
      <c r="J19" s="9"/>
      <c r="Q19" s="31"/>
      <c r="R19" s="47"/>
      <c r="S19" s="2"/>
      <c r="T19" s="18"/>
      <c r="U19" s="287" t="str">
        <f>IF(V18="","","=")</f>
        <v/>
      </c>
      <c r="V19" s="1711"/>
      <c r="W19" s="1711"/>
      <c r="X19" s="1711"/>
      <c r="Y19" s="1711"/>
    </row>
    <row r="20" spans="1:25" ht="13.8" thickBot="1" x14ac:dyDescent="0.3">
      <c r="A20" s="34"/>
      <c r="B20" s="300" t="s">
        <v>635</v>
      </c>
      <c r="C20" s="34"/>
      <c r="G20" s="252"/>
      <c r="H20" s="253" t="s">
        <v>241</v>
      </c>
      <c r="J20" s="9"/>
      <c r="Q20" s="239"/>
      <c r="R20" s="47"/>
      <c r="S20" s="239"/>
      <c r="T20" s="34"/>
      <c r="V20" s="1711"/>
      <c r="W20" s="1711"/>
      <c r="X20" s="1711"/>
      <c r="Y20" s="1711"/>
    </row>
    <row r="21" spans="1:25" ht="13.8" thickBot="1" x14ac:dyDescent="0.3">
      <c r="G21" s="252"/>
      <c r="H21" s="253" t="s">
        <v>139</v>
      </c>
      <c r="J21" s="9"/>
      <c r="Q21" s="2"/>
      <c r="R21" s="47"/>
      <c r="S21" s="2"/>
      <c r="T21" s="18"/>
      <c r="V21" s="1712" t="str">
        <f>IF(V18="","","Begin by entering the amount from cell D29 applicable to the residential portion")</f>
        <v/>
      </c>
      <c r="W21" s="1712"/>
      <c r="X21" s="1712"/>
      <c r="Y21" s="1712"/>
    </row>
    <row r="22" spans="1:25" ht="13.8" thickBot="1" x14ac:dyDescent="0.3">
      <c r="A22" s="41" t="s">
        <v>243</v>
      </c>
      <c r="B22" s="34"/>
      <c r="C22" s="34"/>
      <c r="D22" s="31" t="str">
        <f>IF(D9="","",D9-SUM(D12:D19))</f>
        <v/>
      </c>
      <c r="F22" s="18"/>
      <c r="G22" s="252"/>
      <c r="H22" s="254"/>
      <c r="I22" s="32"/>
      <c r="J22" s="32"/>
      <c r="K22" s="32"/>
      <c r="L22" s="32"/>
      <c r="M22" s="32"/>
      <c r="N22" s="32"/>
      <c r="O22" s="32"/>
      <c r="P22" s="32"/>
      <c r="Q22" s="38"/>
      <c r="R22" s="38"/>
      <c r="S22" s="38"/>
      <c r="T22" s="38"/>
      <c r="V22" s="1712"/>
      <c r="W22" s="1712"/>
      <c r="X22" s="1712"/>
      <c r="Y22" s="1712"/>
    </row>
    <row r="23" spans="1:25" ht="13.8" thickBot="1" x14ac:dyDescent="0.3">
      <c r="F23" s="18"/>
      <c r="G23" s="252"/>
      <c r="H23" s="252"/>
      <c r="I23" s="34"/>
      <c r="J23" s="34"/>
      <c r="Q23" s="34"/>
      <c r="S23" s="34"/>
      <c r="T23" s="34"/>
      <c r="V23" s="944" t="s">
        <v>1002</v>
      </c>
      <c r="W23" s="55"/>
      <c r="X23" s="55"/>
      <c r="Y23" s="56"/>
    </row>
    <row r="24" spans="1:25" ht="13.8" thickBot="1" x14ac:dyDescent="0.3">
      <c r="F24" s="18"/>
      <c r="G24" s="251" t="s">
        <v>141</v>
      </c>
      <c r="H24" s="252"/>
      <c r="I24" s="34"/>
      <c r="J24" s="34"/>
      <c r="Q24" s="37">
        <f>Q8-Q12-Q14-Q17-Q19+Q21</f>
        <v>0</v>
      </c>
      <c r="S24" s="37">
        <f>S8-S12-S14-S17-S19+S21</f>
        <v>0</v>
      </c>
      <c r="T24" s="18"/>
      <c r="V24" s="945" t="s">
        <v>1003</v>
      </c>
      <c r="Y24" s="924"/>
    </row>
    <row r="25" spans="1:25" ht="13.8" thickBot="1" x14ac:dyDescent="0.3">
      <c r="A25" s="41" t="s">
        <v>79</v>
      </c>
      <c r="B25" s="34"/>
      <c r="C25" s="34"/>
      <c r="F25" s="18"/>
      <c r="G25" s="252"/>
      <c r="H25" s="255" t="s">
        <v>142</v>
      </c>
      <c r="J25" s="34"/>
      <c r="Q25" s="34"/>
      <c r="S25" s="34"/>
      <c r="T25" s="34"/>
      <c r="V25" s="945" t="s">
        <v>254</v>
      </c>
      <c r="W25" s="946"/>
      <c r="X25" s="946"/>
      <c r="Y25" s="947"/>
    </row>
    <row r="26" spans="1:25" ht="12.75" customHeight="1" thickBot="1" x14ac:dyDescent="0.3">
      <c r="F26" s="34"/>
      <c r="G26" s="252"/>
      <c r="H26" s="255" t="s">
        <v>143</v>
      </c>
      <c r="J26" s="34"/>
      <c r="V26" s="1713" t="s">
        <v>1004</v>
      </c>
      <c r="W26" s="1714"/>
      <c r="X26" s="1714"/>
      <c r="Y26" s="1715"/>
    </row>
    <row r="27" spans="1:25" ht="15" customHeight="1" thickBot="1" x14ac:dyDescent="0.3">
      <c r="A27" s="34"/>
      <c r="B27" s="34" t="s">
        <v>140</v>
      </c>
      <c r="C27" s="34"/>
      <c r="D27" s="43">
        <v>0.2</v>
      </c>
      <c r="G27" s="252"/>
      <c r="H27" s="255" t="s">
        <v>144</v>
      </c>
      <c r="J27" s="34"/>
      <c r="Q27" s="40">
        <v>1</v>
      </c>
      <c r="S27" s="948">
        <v>1.3</v>
      </c>
      <c r="T27" s="242"/>
      <c r="V27" s="1716"/>
      <c r="W27" s="1717"/>
      <c r="X27" s="1717"/>
      <c r="Y27" s="1718"/>
    </row>
    <row r="28" spans="1:25" ht="13.8" thickBot="1" x14ac:dyDescent="0.3">
      <c r="A28" s="34"/>
      <c r="B28" s="34"/>
      <c r="C28" s="34"/>
      <c r="F28" s="242"/>
      <c r="G28" s="252"/>
      <c r="H28" s="256" t="s">
        <v>145</v>
      </c>
      <c r="I28" s="32"/>
      <c r="J28" s="38"/>
      <c r="K28" s="32"/>
      <c r="L28" s="32"/>
      <c r="M28" s="32"/>
      <c r="N28" s="32"/>
      <c r="O28" s="32"/>
      <c r="P28" s="32"/>
      <c r="Q28" s="38"/>
      <c r="R28" s="32"/>
      <c r="S28" s="38"/>
      <c r="T28" s="38"/>
      <c r="V28" s="51"/>
      <c r="W28" s="52" t="s">
        <v>255</v>
      </c>
      <c r="X28" s="53"/>
      <c r="Y28" s="54"/>
    </row>
    <row r="29" spans="1:25" ht="13.8" thickBot="1" x14ac:dyDescent="0.3">
      <c r="A29" s="41" t="s">
        <v>247</v>
      </c>
      <c r="B29" s="34"/>
      <c r="C29" s="34"/>
      <c r="D29" s="31">
        <f>IF(D9="",0,D22*D27)</f>
        <v>0</v>
      </c>
      <c r="E29" s="289" t="str">
        <f>IF(V18="","","=")</f>
        <v/>
      </c>
      <c r="F29" s="242"/>
      <c r="G29" s="252"/>
      <c r="H29" s="252"/>
      <c r="I29" s="34"/>
      <c r="J29" s="34"/>
      <c r="Q29" s="34"/>
      <c r="S29" s="38"/>
      <c r="T29" s="34"/>
      <c r="V29" s="374" t="s">
        <v>221</v>
      </c>
      <c r="W29" s="375" t="s">
        <v>221</v>
      </c>
      <c r="X29" s="375" t="s">
        <v>222</v>
      </c>
      <c r="Y29" s="376" t="s">
        <v>223</v>
      </c>
    </row>
    <row r="30" spans="1:25" ht="13.8" thickBot="1" x14ac:dyDescent="0.3">
      <c r="A30" s="34"/>
      <c r="B30" s="34"/>
      <c r="C30" s="34"/>
      <c r="F30" s="242"/>
      <c r="G30" s="251" t="s">
        <v>146</v>
      </c>
      <c r="H30" s="252"/>
      <c r="I30" s="34"/>
      <c r="J30" s="34"/>
      <c r="Q30" s="44">
        <f>Q24*Q27</f>
        <v>0</v>
      </c>
      <c r="S30" s="44">
        <f>S24*S27</f>
        <v>0</v>
      </c>
      <c r="T30" s="18"/>
      <c r="V30" s="377" t="s">
        <v>224</v>
      </c>
      <c r="W30" s="378" t="s">
        <v>225</v>
      </c>
      <c r="X30" s="379" t="s">
        <v>604</v>
      </c>
      <c r="Y30" s="380" t="s">
        <v>664</v>
      </c>
    </row>
    <row r="31" spans="1:25" ht="13.8" thickBot="1" x14ac:dyDescent="0.3">
      <c r="A31" s="34" t="s">
        <v>151</v>
      </c>
      <c r="B31" s="34"/>
      <c r="C31" s="34"/>
      <c r="F31" s="18"/>
      <c r="G31" s="252"/>
      <c r="H31" s="252"/>
      <c r="I31" s="34"/>
      <c r="J31" s="34"/>
      <c r="Q31" s="34"/>
      <c r="S31" s="34"/>
      <c r="T31" s="34"/>
      <c r="V31" s="381">
        <f>'Project Income &amp; UA'!G57</f>
        <v>0</v>
      </c>
      <c r="W31" s="382">
        <f>SUMIFS('Project Income &amp; UA'!$G$33:$G$55,'Project Income &amp; UA'!$F$33:$F$55,"&lt;&gt;"&amp;"Mkt")</f>
        <v>0</v>
      </c>
      <c r="X31" s="383">
        <f>'Building Summary'!F14</f>
        <v>0</v>
      </c>
      <c r="Y31" s="384">
        <f>X31</f>
        <v>0</v>
      </c>
    </row>
    <row r="32" spans="1:25" ht="13.8" thickBot="1" x14ac:dyDescent="0.3">
      <c r="A32" s="34" t="s">
        <v>152</v>
      </c>
      <c r="B32" s="34"/>
      <c r="C32" s="34"/>
      <c r="D32" s="45">
        <v>0.87</v>
      </c>
      <c r="F32" s="34"/>
      <c r="G32" s="251" t="s">
        <v>147</v>
      </c>
      <c r="H32" s="252"/>
      <c r="J32" s="34"/>
      <c r="Q32" s="951">
        <f>ROUND(MIN(V32,X32),4)</f>
        <v>0</v>
      </c>
      <c r="R32" s="1305"/>
      <c r="S32" s="951">
        <f>Q32</f>
        <v>0</v>
      </c>
      <c r="T32" s="242"/>
      <c r="V32" s="1700">
        <f>IF(V31=0,0,W31/V31)</f>
        <v>0</v>
      </c>
      <c r="W32" s="1701"/>
      <c r="X32" s="1702">
        <f>IF(X31=0,0,Y31/X31)</f>
        <v>0</v>
      </c>
      <c r="Y32" s="1703"/>
    </row>
    <row r="33" spans="1:28" ht="13.8" thickBot="1" x14ac:dyDescent="0.3">
      <c r="F33" s="242"/>
      <c r="G33" s="252"/>
      <c r="H33" s="254"/>
      <c r="I33" s="32"/>
      <c r="J33" s="32"/>
      <c r="K33" s="32"/>
      <c r="L33" s="32"/>
      <c r="M33" s="32"/>
      <c r="N33" s="32"/>
      <c r="O33" s="32"/>
      <c r="P33" s="32"/>
      <c r="Q33" s="38"/>
      <c r="R33" s="32"/>
      <c r="S33" s="38"/>
      <c r="T33" s="38"/>
      <c r="V33" s="385"/>
      <c r="W33" s="386" t="s">
        <v>658</v>
      </c>
      <c r="X33" s="387">
        <f>'Building Summary'!F36</f>
        <v>0</v>
      </c>
      <c r="Y33" s="388"/>
      <c r="AB33" s="367"/>
    </row>
    <row r="34" spans="1:28" ht="13.5" customHeight="1" thickBot="1" x14ac:dyDescent="0.3">
      <c r="A34" s="26" t="s">
        <v>252</v>
      </c>
      <c r="D34" s="31">
        <f>D29*D32*Y48</f>
        <v>0</v>
      </c>
      <c r="F34" s="34"/>
      <c r="G34" s="255"/>
      <c r="H34" s="252"/>
      <c r="I34" s="34"/>
      <c r="J34" s="34"/>
      <c r="Q34" s="34"/>
      <c r="S34" s="38"/>
      <c r="T34" s="34"/>
      <c r="V34" s="1704" t="s">
        <v>665</v>
      </c>
      <c r="W34" s="1705"/>
      <c r="X34" s="1705"/>
      <c r="Y34" s="1706"/>
    </row>
    <row r="35" spans="1:28" ht="13.8" thickBot="1" x14ac:dyDescent="0.3">
      <c r="F35" s="34"/>
      <c r="G35" s="255" t="s">
        <v>148</v>
      </c>
      <c r="H35" s="252"/>
      <c r="I35" s="34"/>
      <c r="J35" s="34"/>
      <c r="Q35" s="31">
        <f>Q30*Q32</f>
        <v>0</v>
      </c>
      <c r="S35" s="31">
        <f>S30*S32</f>
        <v>0</v>
      </c>
      <c r="T35" s="18"/>
      <c r="V35" s="1707"/>
      <c r="W35" s="1708"/>
      <c r="X35" s="1708"/>
      <c r="Y35" s="1709"/>
    </row>
    <row r="36" spans="1:28" ht="13.8" thickBot="1" x14ac:dyDescent="0.3">
      <c r="F36" s="18"/>
      <c r="G36" s="255"/>
      <c r="H36" s="252"/>
      <c r="I36" s="34"/>
      <c r="J36" s="34"/>
      <c r="Q36" s="34"/>
      <c r="S36" s="34"/>
      <c r="T36" s="34"/>
      <c r="V36" s="252"/>
    </row>
    <row r="37" spans="1:28" ht="13.5" customHeight="1" thickBot="1" x14ac:dyDescent="0.3">
      <c r="A37" s="41" t="s">
        <v>1513</v>
      </c>
      <c r="B37" s="34"/>
      <c r="C37" s="34"/>
      <c r="F37" s="34"/>
      <c r="G37" s="255" t="s">
        <v>256</v>
      </c>
      <c r="H37" s="252"/>
      <c r="J37" s="34"/>
      <c r="Q37" s="1360">
        <v>0.04</v>
      </c>
      <c r="S37" s="951">
        <f>IF('Project Information'!L4="Yes",Q37,9%)</f>
        <v>0.09</v>
      </c>
      <c r="T37" s="242"/>
      <c r="V37" s="252"/>
    </row>
    <row r="38" spans="1:28" ht="12.9" customHeight="1" thickBot="1" x14ac:dyDescent="0.3">
      <c r="A38" s="34"/>
      <c r="B38" s="41" t="str">
        <f>IF(D6="Yes","MH Bridge Loan?","")</f>
        <v/>
      </c>
      <c r="C38" s="41"/>
      <c r="D38" s="1343" t="str">
        <f>IF(B38&lt;&gt;"","Yes","")</f>
        <v/>
      </c>
      <c r="F38" s="242"/>
      <c r="G38" s="252"/>
      <c r="H38" s="254"/>
      <c r="I38" s="32"/>
      <c r="J38" s="32"/>
      <c r="K38" s="32"/>
      <c r="L38" s="32"/>
      <c r="M38" s="32"/>
      <c r="N38" s="32"/>
      <c r="O38" s="32"/>
      <c r="P38" s="32"/>
      <c r="Q38" s="38"/>
      <c r="R38" s="32"/>
      <c r="S38" s="38"/>
      <c r="T38" s="38"/>
    </row>
    <row r="39" spans="1:28" ht="13.5" customHeight="1" thickBot="1" x14ac:dyDescent="0.3">
      <c r="A39" s="41"/>
      <c r="B39" s="34" t="s">
        <v>1099</v>
      </c>
      <c r="C39" s="34"/>
      <c r="D39" s="523">
        <v>0.35</v>
      </c>
      <c r="F39" s="34"/>
      <c r="G39" s="255"/>
      <c r="H39" s="252"/>
      <c r="I39" s="34"/>
      <c r="J39" s="34"/>
      <c r="Q39" s="34"/>
      <c r="S39" s="38"/>
      <c r="T39" s="34"/>
    </row>
    <row r="40" spans="1:28" ht="12.9" customHeight="1" thickBot="1" x14ac:dyDescent="0.3">
      <c r="A40" s="41"/>
      <c r="B40" s="34"/>
      <c r="C40" s="34"/>
      <c r="F40" s="34"/>
      <c r="G40" s="255" t="s">
        <v>149</v>
      </c>
      <c r="H40" s="257"/>
      <c r="I40" s="34"/>
      <c r="J40" s="34"/>
      <c r="Q40" s="31">
        <f>ROUND(Q35*Q37,0)</f>
        <v>0</v>
      </c>
      <c r="R40" s="47"/>
      <c r="S40" s="31">
        <f>ROUND(S35*S37-Y45,0)</f>
        <v>0</v>
      </c>
      <c r="T40" s="18"/>
    </row>
    <row r="41" spans="1:28" ht="13.8" thickBot="1" x14ac:dyDescent="0.3">
      <c r="A41" s="34" t="s">
        <v>24</v>
      </c>
      <c r="B41" s="34"/>
      <c r="C41" s="34"/>
      <c r="D41" s="31">
        <f>IF(D9="",0,D22*D39)</f>
        <v>0</v>
      </c>
      <c r="F41" s="18"/>
      <c r="G41" s="255"/>
      <c r="H41" s="252"/>
      <c r="I41" s="34"/>
      <c r="J41" s="34"/>
      <c r="Q41" s="34"/>
      <c r="S41" s="34"/>
      <c r="T41" s="34"/>
    </row>
    <row r="42" spans="1:28" ht="13.5" customHeight="1" thickBot="1" x14ac:dyDescent="0.3">
      <c r="F42" s="34"/>
      <c r="G42" s="255" t="s">
        <v>150</v>
      </c>
      <c r="H42" s="252"/>
      <c r="I42" s="34"/>
      <c r="J42" s="34"/>
      <c r="Q42" s="31">
        <f>Q40*10</f>
        <v>0</v>
      </c>
      <c r="S42" s="31">
        <f>S40*10</f>
        <v>0</v>
      </c>
      <c r="T42" s="18"/>
      <c r="V42" s="1710" t="s">
        <v>1012</v>
      </c>
      <c r="W42" s="1710"/>
      <c r="X42" s="1710"/>
      <c r="Y42" s="372"/>
    </row>
    <row r="43" spans="1:28" ht="13.8" thickBot="1" x14ac:dyDescent="0.3">
      <c r="A43" s="34" t="s">
        <v>151</v>
      </c>
      <c r="B43" s="34"/>
      <c r="C43" s="34"/>
      <c r="F43" s="18"/>
      <c r="G43" s="252"/>
      <c r="H43" s="254"/>
      <c r="I43" s="32"/>
      <c r="J43" s="32"/>
      <c r="K43" s="32"/>
      <c r="L43" s="32"/>
      <c r="M43" s="32"/>
      <c r="N43" s="32"/>
      <c r="O43" s="32"/>
      <c r="P43" s="32"/>
      <c r="Q43" s="38"/>
      <c r="R43" s="32"/>
      <c r="S43" s="38"/>
      <c r="T43" s="38"/>
      <c r="V43" s="1710"/>
      <c r="W43" s="1710"/>
      <c r="X43" s="1710"/>
      <c r="Y43" s="372"/>
    </row>
    <row r="44" spans="1:28" ht="13.8" thickBot="1" x14ac:dyDescent="0.3">
      <c r="A44" s="34" t="s">
        <v>152</v>
      </c>
      <c r="B44" s="34"/>
      <c r="C44" s="34"/>
      <c r="D44" s="45">
        <v>0.88</v>
      </c>
      <c r="F44" s="34"/>
      <c r="G44" s="255"/>
      <c r="H44" s="252"/>
      <c r="K44" s="39"/>
      <c r="L44" s="39"/>
      <c r="Q44" s="36"/>
      <c r="S44" s="34"/>
      <c r="T44" s="34"/>
      <c r="V44" s="1710"/>
      <c r="W44" s="1710"/>
      <c r="X44" s="1710"/>
    </row>
    <row r="45" spans="1:28" ht="13.8" thickBot="1" x14ac:dyDescent="0.3">
      <c r="F45" s="34"/>
      <c r="G45" s="255" t="s">
        <v>248</v>
      </c>
      <c r="H45" s="252"/>
      <c r="J45" s="39"/>
      <c r="K45" s="39"/>
      <c r="L45" s="39"/>
      <c r="Q45" s="949">
        <f>S45</f>
        <v>0.87</v>
      </c>
      <c r="S45" s="46">
        <v>0.87</v>
      </c>
      <c r="T45" s="18"/>
      <c r="V45" s="1710"/>
      <c r="W45" s="1710"/>
      <c r="X45" s="1710"/>
      <c r="Y45" s="2"/>
    </row>
    <row r="46" spans="1:28" ht="13.8" thickBot="1" x14ac:dyDescent="0.3">
      <c r="A46" s="26" t="s">
        <v>252</v>
      </c>
      <c r="D46" s="31">
        <f>D41*D44</f>
        <v>0</v>
      </c>
      <c r="F46" s="18"/>
      <c r="G46" s="252"/>
      <c r="H46" s="254"/>
      <c r="I46" s="32"/>
      <c r="J46" s="32"/>
      <c r="K46" s="32"/>
      <c r="L46" s="32"/>
      <c r="M46" s="32"/>
      <c r="N46" s="32"/>
      <c r="O46" s="32"/>
      <c r="P46" s="32"/>
      <c r="Q46" s="38"/>
      <c r="R46" s="32"/>
      <c r="S46" s="38"/>
      <c r="T46" s="38"/>
    </row>
    <row r="47" spans="1:28" ht="13.8" thickBot="1" x14ac:dyDescent="0.3">
      <c r="F47" s="34"/>
      <c r="G47" s="252"/>
      <c r="H47" s="252"/>
      <c r="J47" s="39"/>
      <c r="K47" s="39"/>
      <c r="L47" s="39"/>
      <c r="Q47" s="34"/>
      <c r="S47" s="34"/>
      <c r="T47" s="34"/>
    </row>
    <row r="48" spans="1:28" ht="13.8" thickBot="1" x14ac:dyDescent="0.3">
      <c r="F48" s="34"/>
      <c r="G48" s="257" t="s">
        <v>251</v>
      </c>
      <c r="H48" s="252"/>
      <c r="K48" s="39"/>
      <c r="L48" s="39"/>
      <c r="Q48" s="31">
        <f>ROUND(Q42*Q45*Y48,0)</f>
        <v>0</v>
      </c>
      <c r="S48" s="31">
        <f>ROUND(S42*S45*Y48,0)</f>
        <v>0</v>
      </c>
      <c r="T48" s="18"/>
      <c r="V48" s="391" t="s">
        <v>605</v>
      </c>
      <c r="W48" s="294"/>
      <c r="X48" s="294"/>
      <c r="Y48" s="373">
        <f>IF(OR(D6="Yes",'MH Underwriting'!W4&lt;&gt;""),0.9899,0.9999)</f>
        <v>0.99990000000000001</v>
      </c>
    </row>
    <row r="49" spans="1:23" ht="13.8" thickBot="1" x14ac:dyDescent="0.3">
      <c r="A49" s="26" t="s">
        <v>249</v>
      </c>
      <c r="D49" s="31">
        <f>D34+D46</f>
        <v>0</v>
      </c>
      <c r="F49" s="18"/>
      <c r="G49" s="252"/>
      <c r="H49" s="252"/>
      <c r="O49" s="34"/>
    </row>
    <row r="50" spans="1:23" ht="13.8" thickBot="1" x14ac:dyDescent="0.3">
      <c r="G50" s="257" t="s">
        <v>253</v>
      </c>
      <c r="H50" s="252"/>
      <c r="Q50" s="1697">
        <f>D49+Q48+S48</f>
        <v>0</v>
      </c>
      <c r="R50" s="1698"/>
      <c r="S50" s="1699"/>
      <c r="W50" s="26"/>
    </row>
    <row r="51" spans="1:23" x14ac:dyDescent="0.25">
      <c r="V51" s="238"/>
    </row>
    <row r="52" spans="1:23" x14ac:dyDescent="0.25">
      <c r="R52" s="392" t="str">
        <f>IF(Q40+S40&gt;'Tax Credit Calc'!I25, "WARNING:  LITHC EXCEEDS QAP CAP BY","")</f>
        <v/>
      </c>
    </row>
    <row r="53" spans="1:23" x14ac:dyDescent="0.25">
      <c r="A53" s="393"/>
      <c r="Q53" s="1691" t="str">
        <f>IF(R52="","",Q40+S40-'Tax Credit Calc'!I25)</f>
        <v/>
      </c>
      <c r="R53" s="1691"/>
      <c r="S53" s="1691"/>
    </row>
    <row r="55" spans="1:23" s="248" customFormat="1" ht="24" customHeight="1" x14ac:dyDescent="0.25">
      <c r="A55" s="243"/>
      <c r="B55" s="243"/>
      <c r="C55" s="243"/>
      <c r="D55" s="243"/>
      <c r="E55" s="243"/>
      <c r="F55" s="243"/>
      <c r="G55" s="243"/>
      <c r="H55" s="243"/>
      <c r="I55" s="243"/>
      <c r="J55" s="243"/>
      <c r="K55" s="243"/>
      <c r="L55" s="243"/>
      <c r="M55" s="243"/>
      <c r="N55" s="243"/>
      <c r="O55" s="243"/>
      <c r="P55" s="243"/>
      <c r="Q55" s="243"/>
      <c r="R55" s="6"/>
      <c r="S55" s="243"/>
      <c r="U55" s="249"/>
    </row>
  </sheetData>
  <sheetProtection algorithmName="SHA-512" hashValue="xH4JoGvL2yx58yIvVaFsdUcpxu5tz7F8ZUoyWZYwgQpKSsJQKOsouVhzCFdWc+Qu50LCX2/WcaLIj7XKSKmwxg==" saltValue="UPls6DpL2wVvubnMEzfuBg==" spinCount="100000" sheet="1" objects="1" scenarios="1" selectLockedCells="1"/>
  <mergeCells count="19">
    <mergeCell ref="V32:W32"/>
    <mergeCell ref="X32:Y32"/>
    <mergeCell ref="V34:Y35"/>
    <mergeCell ref="V42:X45"/>
    <mergeCell ref="V18:Y20"/>
    <mergeCell ref="V21:Y22"/>
    <mergeCell ref="V26:Y27"/>
    <mergeCell ref="Q53:S53"/>
    <mergeCell ref="B17:C17"/>
    <mergeCell ref="B12:C12"/>
    <mergeCell ref="P2:S2"/>
    <mergeCell ref="B13:C13"/>
    <mergeCell ref="J12:M12"/>
    <mergeCell ref="B14:C14"/>
    <mergeCell ref="B15:C15"/>
    <mergeCell ref="B16:C16"/>
    <mergeCell ref="Q50:S50"/>
    <mergeCell ref="B18:C18"/>
    <mergeCell ref="B19:C19"/>
  </mergeCells>
  <conditionalFormatting sqref="B38:D38">
    <cfRule type="expression" dxfId="8" priority="1">
      <formula>AND($B$38&lt;&gt;"",$D$38="")</formula>
    </cfRule>
  </conditionalFormatting>
  <dataValidations count="2">
    <dataValidation type="list" allowBlank="1" showInputMessage="1" showErrorMessage="1" sqref="D6" xr:uid="{00000000-0002-0000-1700-000000000000}">
      <formula1>$D$4:$D$5</formula1>
    </dataValidation>
    <dataValidation type="list" allowBlank="1" showInputMessage="1" showErrorMessage="1" sqref="D38" xr:uid="{00000000-0002-0000-1700-000001000000}">
      <formula1>"Yes,No"</formula1>
    </dataValidation>
  </dataValidations>
  <printOptions horizontalCentered="1"/>
  <pageMargins left="0.5" right="0.5" top="0.75" bottom="0.3" header="0.5" footer="0.5"/>
  <pageSetup scale="78"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pageSetUpPr fitToPage="1"/>
  </sheetPr>
  <dimension ref="A1:K71"/>
  <sheetViews>
    <sheetView showGridLines="0" zoomScale="110" zoomScaleNormal="110" zoomScaleSheetLayoutView="120" workbookViewId="0">
      <pane ySplit="7" topLeftCell="A46" activePane="bottomLeft" state="frozen"/>
      <selection activeCell="O274" sqref="O274"/>
      <selection pane="bottomLeft" activeCell="C56" sqref="C56"/>
    </sheetView>
  </sheetViews>
  <sheetFormatPr defaultColWidth="9.109375" defaultRowHeight="13.2" x14ac:dyDescent="0.25"/>
  <cols>
    <col min="1" max="1" width="2.6640625" style="545" customWidth="1"/>
    <col min="2" max="2" width="40.6640625" style="545" customWidth="1"/>
    <col min="3" max="3" width="10.44140625" style="546" customWidth="1"/>
    <col min="4" max="5" width="9.33203125" style="546" customWidth="1"/>
    <col min="6" max="6" width="10.44140625" style="1322" customWidth="1"/>
    <col min="7" max="7" width="20.6640625" style="546" customWidth="1"/>
    <col min="8" max="9" width="10.6640625" style="546" customWidth="1"/>
    <col min="10" max="16384" width="9.109375" style="244"/>
  </cols>
  <sheetData>
    <row r="1" spans="1:11" x14ac:dyDescent="0.25">
      <c r="A1" s="539" t="s">
        <v>588</v>
      </c>
      <c r="B1" s="540"/>
      <c r="C1" s="540"/>
      <c r="D1" s="540"/>
      <c r="E1" s="540"/>
      <c r="F1" s="886"/>
      <c r="G1" s="541"/>
      <c r="H1" s="541"/>
      <c r="I1" s="541" t="str">
        <f>'Project Information'!D4</f>
        <v>Project Name</v>
      </c>
    </row>
    <row r="2" spans="1:11" ht="13.8" thickBot="1" x14ac:dyDescent="0.3">
      <c r="A2" s="542"/>
      <c r="B2" s="542"/>
      <c r="C2" s="543"/>
      <c r="D2" s="543" t="s">
        <v>180</v>
      </c>
      <c r="E2" s="542"/>
      <c r="F2" s="1321"/>
      <c r="G2" s="544"/>
      <c r="H2" s="544"/>
      <c r="I2" s="544"/>
    </row>
    <row r="3" spans="1:11" ht="13.8" thickTop="1" x14ac:dyDescent="0.25"/>
    <row r="4" spans="1:11" x14ac:dyDescent="0.25">
      <c r="K4" s="6"/>
    </row>
    <row r="5" spans="1:11" x14ac:dyDescent="0.25">
      <c r="A5" s="547"/>
      <c r="B5" s="548"/>
      <c r="C5" s="549"/>
      <c r="D5" s="549"/>
      <c r="E5" s="550" t="s">
        <v>599</v>
      </c>
      <c r="F5" s="1323"/>
      <c r="G5" s="551"/>
      <c r="H5" s="552"/>
      <c r="I5" s="553"/>
    </row>
    <row r="6" spans="1:11" x14ac:dyDescent="0.25">
      <c r="A6" s="547"/>
      <c r="B6" s="554"/>
      <c r="C6" s="555"/>
      <c r="D6" s="555"/>
      <c r="E6" s="556" t="s">
        <v>600</v>
      </c>
      <c r="F6" s="1324" t="s">
        <v>153</v>
      </c>
      <c r="G6" s="557" t="s">
        <v>154</v>
      </c>
      <c r="H6" s="558"/>
      <c r="I6" s="559"/>
    </row>
    <row r="7" spans="1:11" x14ac:dyDescent="0.25">
      <c r="A7" s="560"/>
      <c r="B7" s="561" t="s">
        <v>155</v>
      </c>
      <c r="C7" s="562" t="s">
        <v>156</v>
      </c>
      <c r="D7" s="562" t="s">
        <v>157</v>
      </c>
      <c r="E7" s="562" t="s">
        <v>68</v>
      </c>
      <c r="F7" s="1325" t="s">
        <v>158</v>
      </c>
      <c r="G7" s="563" t="s">
        <v>159</v>
      </c>
      <c r="H7" s="564"/>
      <c r="I7" s="565"/>
    </row>
    <row r="9" spans="1:11" ht="15.6" x14ac:dyDescent="0.3">
      <c r="A9" s="1731" t="s">
        <v>160</v>
      </c>
      <c r="B9" s="1731"/>
      <c r="C9" s="1731"/>
      <c r="D9" s="1731"/>
      <c r="E9" s="1731"/>
      <c r="F9" s="1731"/>
      <c r="G9" s="1731"/>
      <c r="H9" s="566"/>
      <c r="I9" s="566"/>
    </row>
    <row r="10" spans="1:11" ht="20.100000000000001" customHeight="1" x14ac:dyDescent="0.25">
      <c r="A10" s="567" t="s">
        <v>588</v>
      </c>
      <c r="B10" s="568"/>
      <c r="C10" s="569"/>
      <c r="D10" s="569"/>
      <c r="E10" s="569"/>
      <c r="F10" s="1326"/>
    </row>
    <row r="11" spans="1:11" s="928" customFormat="1" ht="60" customHeight="1" x14ac:dyDescent="0.25">
      <c r="A11" s="925"/>
      <c r="B11" s="929" t="s">
        <v>996</v>
      </c>
      <c r="C11" s="932">
        <f>IF('Project Information'!L4="No",C32,0)</f>
        <v>0</v>
      </c>
      <c r="D11" s="930">
        <v>0</v>
      </c>
      <c r="E11" s="931">
        <v>31</v>
      </c>
      <c r="F11" s="1344">
        <v>0</v>
      </c>
      <c r="G11" s="933" t="s">
        <v>995</v>
      </c>
      <c r="H11" s="926"/>
      <c r="I11" s="927"/>
    </row>
    <row r="12" spans="1:11" ht="20.100000000000001" customHeight="1" x14ac:dyDescent="0.25">
      <c r="A12" s="567" t="s">
        <v>636</v>
      </c>
      <c r="B12" s="568"/>
      <c r="C12" s="569"/>
      <c r="D12" s="569"/>
      <c r="E12" s="569"/>
      <c r="F12" s="1326"/>
    </row>
    <row r="13" spans="1:11" ht="20.100000000000001" customHeight="1" x14ac:dyDescent="0.25">
      <c r="A13" s="568"/>
      <c r="B13" s="572" t="s">
        <v>1785</v>
      </c>
      <c r="C13" s="573">
        <f>'MH Underwriting'!V19</f>
        <v>0</v>
      </c>
      <c r="D13" s="574"/>
      <c r="E13" s="575"/>
      <c r="F13" s="1327"/>
      <c r="G13" s="1735"/>
      <c r="H13" s="1736"/>
      <c r="I13" s="1737"/>
    </row>
    <row r="14" spans="1:11" ht="20.100000000000001" customHeight="1" x14ac:dyDescent="0.25">
      <c r="A14" s="567" t="s">
        <v>585</v>
      </c>
      <c r="B14" s="568"/>
      <c r="C14" s="569"/>
      <c r="D14" s="569"/>
      <c r="E14" s="569"/>
      <c r="F14" s="1326"/>
    </row>
    <row r="15" spans="1:11" ht="20.100000000000001" customHeight="1" x14ac:dyDescent="0.25">
      <c r="A15" s="568"/>
      <c r="B15" s="576" t="s">
        <v>984</v>
      </c>
      <c r="C15" s="577"/>
      <c r="D15" s="574"/>
      <c r="E15" s="575"/>
      <c r="F15" s="1328"/>
      <c r="G15" s="1747"/>
      <c r="H15" s="1748"/>
      <c r="I15" s="1749"/>
    </row>
    <row r="16" spans="1:11" ht="20.100000000000001" customHeight="1" x14ac:dyDescent="0.25">
      <c r="A16" s="567" t="s">
        <v>594</v>
      </c>
      <c r="B16" s="568"/>
      <c r="C16" s="569"/>
      <c r="D16" s="569"/>
      <c r="E16" s="569"/>
      <c r="F16" s="1326"/>
    </row>
    <row r="17" spans="1:10" ht="20.100000000000001" customHeight="1" x14ac:dyDescent="0.25">
      <c r="A17" s="568"/>
      <c r="B17" s="579" t="s">
        <v>985</v>
      </c>
      <c r="C17" s="580"/>
      <c r="D17" s="581"/>
      <c r="E17" s="582">
        <v>30</v>
      </c>
      <c r="F17" s="1345">
        <f>IF(C17&lt;1,0,PMT(D17/12,E17*12,C17)*-1)</f>
        <v>0</v>
      </c>
      <c r="G17" s="1738" t="s">
        <v>704</v>
      </c>
      <c r="H17" s="1739"/>
      <c r="I17" s="1740"/>
    </row>
    <row r="18" spans="1:10" ht="20.100000000000001" customHeight="1" x14ac:dyDescent="0.25">
      <c r="A18" s="568"/>
      <c r="B18" s="583" t="s">
        <v>986</v>
      </c>
      <c r="C18" s="584"/>
      <c r="D18" s="585"/>
      <c r="E18" s="586">
        <v>30</v>
      </c>
      <c r="F18" s="1346">
        <v>0</v>
      </c>
      <c r="G18" s="1741" t="s">
        <v>705</v>
      </c>
      <c r="H18" s="1742"/>
      <c r="I18" s="1743"/>
    </row>
    <row r="19" spans="1:10" ht="20.100000000000001" customHeight="1" x14ac:dyDescent="0.25">
      <c r="A19" s="568"/>
      <c r="B19" s="587" t="s">
        <v>987</v>
      </c>
      <c r="C19" s="588"/>
      <c r="D19" s="589"/>
      <c r="E19" s="590">
        <v>30</v>
      </c>
      <c r="F19" s="1347">
        <f>IF(C19&lt;1,0,PMT(D19/12,E19*12,C19)*-1)</f>
        <v>0</v>
      </c>
      <c r="G19" s="1744" t="s">
        <v>706</v>
      </c>
      <c r="H19" s="1745"/>
      <c r="I19" s="1746"/>
    </row>
    <row r="20" spans="1:10" ht="20.100000000000001" customHeight="1" x14ac:dyDescent="0.25">
      <c r="A20" s="567" t="s">
        <v>584</v>
      </c>
      <c r="G20" s="594"/>
      <c r="H20" s="594"/>
      <c r="I20" s="594"/>
    </row>
    <row r="21" spans="1:10" ht="20.100000000000001" customHeight="1" x14ac:dyDescent="0.25">
      <c r="A21" s="568"/>
      <c r="B21" s="525"/>
      <c r="C21" s="283"/>
      <c r="D21" s="282"/>
      <c r="E21" s="591">
        <v>1</v>
      </c>
      <c r="F21" s="1328"/>
      <c r="G21" s="1720"/>
      <c r="H21" s="1721"/>
      <c r="I21" s="1722"/>
    </row>
    <row r="22" spans="1:10" ht="20.100000000000001" customHeight="1" x14ac:dyDescent="0.25">
      <c r="A22" s="567" t="s">
        <v>589</v>
      </c>
    </row>
    <row r="23" spans="1:10" ht="20.100000000000001" customHeight="1" x14ac:dyDescent="0.25">
      <c r="A23" s="568"/>
      <c r="B23" s="525"/>
      <c r="C23" s="283"/>
      <c r="D23" s="282"/>
      <c r="E23" s="591"/>
      <c r="F23" s="1328"/>
      <c r="G23" s="1735"/>
      <c r="H23" s="1736"/>
      <c r="I23" s="1737"/>
    </row>
    <row r="24" spans="1:10" ht="13.8" thickBot="1" x14ac:dyDescent="0.3"/>
    <row r="25" spans="1:10" ht="20.100000000000001" customHeight="1" thickBot="1" x14ac:dyDescent="0.3">
      <c r="A25" s="540"/>
      <c r="B25" s="592" t="s">
        <v>593</v>
      </c>
      <c r="C25" s="284">
        <f>SUM(C11:C23)</f>
        <v>0</v>
      </c>
      <c r="E25" s="1719" t="s">
        <v>1208</v>
      </c>
      <c r="F25" s="1719"/>
      <c r="G25" s="1719"/>
      <c r="H25" s="1719"/>
    </row>
    <row r="26" spans="1:10" x14ac:dyDescent="0.25">
      <c r="E26" s="1719"/>
      <c r="F26" s="1719"/>
      <c r="G26" s="1719"/>
      <c r="H26" s="1719"/>
    </row>
    <row r="28" spans="1:10" ht="15.6" x14ac:dyDescent="0.3">
      <c r="A28" s="1731" t="s">
        <v>638</v>
      </c>
      <c r="B28" s="1731"/>
      <c r="C28" s="1731"/>
      <c r="D28" s="1731"/>
      <c r="E28" s="1731"/>
      <c r="F28" s="1731"/>
      <c r="G28" s="1731"/>
      <c r="H28" s="566"/>
      <c r="I28" s="566"/>
    </row>
    <row r="29" spans="1:10" x14ac:dyDescent="0.25">
      <c r="A29" s="1751" t="s">
        <v>637</v>
      </c>
      <c r="B29" s="1751"/>
      <c r="C29" s="1751"/>
      <c r="D29" s="1751"/>
      <c r="E29" s="1751"/>
      <c r="F29" s="1751"/>
      <c r="G29" s="1751"/>
      <c r="H29" s="566"/>
      <c r="I29" s="566"/>
    </row>
    <row r="30" spans="1:10" x14ac:dyDescent="0.25">
      <c r="A30" s="568"/>
      <c r="B30" s="568"/>
      <c r="C30" s="569"/>
      <c r="D30" s="569"/>
      <c r="E30" s="569"/>
      <c r="F30" s="1326"/>
    </row>
    <row r="31" spans="1:10" ht="20.100000000000001" customHeight="1" x14ac:dyDescent="0.25">
      <c r="A31" s="567" t="s">
        <v>588</v>
      </c>
      <c r="B31" s="568"/>
      <c r="C31" s="569"/>
      <c r="D31" s="569"/>
      <c r="E31" s="569"/>
      <c r="F31" s="1326"/>
    </row>
    <row r="32" spans="1:10" s="928" customFormat="1" ht="60" customHeight="1" x14ac:dyDescent="0.25">
      <c r="A32" s="925"/>
      <c r="B32" s="935" t="s">
        <v>997</v>
      </c>
      <c r="C32" s="934"/>
      <c r="D32" s="930">
        <v>0</v>
      </c>
      <c r="E32" s="931">
        <v>30</v>
      </c>
      <c r="F32" s="932">
        <v>0</v>
      </c>
      <c r="G32" s="1732" t="s">
        <v>591</v>
      </c>
      <c r="H32" s="1733"/>
      <c r="I32" s="1734"/>
      <c r="J32" s="1204">
        <v>30</v>
      </c>
    </row>
    <row r="33" spans="1:10" ht="20.100000000000001" hidden="1" customHeight="1" x14ac:dyDescent="0.25">
      <c r="A33" s="568"/>
      <c r="B33" s="540"/>
      <c r="C33" s="540"/>
      <c r="D33" s="540"/>
      <c r="E33" s="540"/>
      <c r="F33" s="1348"/>
      <c r="G33" s="1752" t="s">
        <v>707</v>
      </c>
      <c r="H33" s="1752"/>
      <c r="I33" s="1752"/>
      <c r="J33" s="1205"/>
    </row>
    <row r="34" spans="1:10" ht="20.100000000000001" hidden="1" customHeight="1" x14ac:dyDescent="0.25">
      <c r="A34" s="568"/>
      <c r="B34" s="540"/>
      <c r="C34" s="540"/>
      <c r="D34" s="540"/>
      <c r="E34" s="540"/>
      <c r="F34" s="1348"/>
      <c r="G34" s="1726" t="s">
        <v>1783</v>
      </c>
      <c r="H34" s="1726"/>
      <c r="I34" s="1726"/>
      <c r="J34" s="1205"/>
    </row>
    <row r="35" spans="1:10" ht="20.100000000000001" hidden="1" customHeight="1" x14ac:dyDescent="0.25">
      <c r="A35" s="568"/>
      <c r="B35" s="540"/>
      <c r="C35" s="540"/>
      <c r="D35" s="540"/>
      <c r="E35" s="540"/>
      <c r="F35" s="1348"/>
      <c r="G35" s="1726" t="s">
        <v>708</v>
      </c>
      <c r="H35" s="1726"/>
      <c r="I35" s="1726"/>
      <c r="J35" s="1205"/>
    </row>
    <row r="36" spans="1:10" ht="20.100000000000001" hidden="1" customHeight="1" x14ac:dyDescent="0.25">
      <c r="A36" s="568"/>
      <c r="B36" s="540"/>
      <c r="C36" s="540"/>
      <c r="D36" s="540"/>
      <c r="E36" s="540"/>
      <c r="F36" s="1348"/>
      <c r="G36" s="1726" t="s">
        <v>709</v>
      </c>
      <c r="H36" s="1726"/>
      <c r="I36" s="1726"/>
      <c r="J36" s="1205"/>
    </row>
    <row r="37" spans="1:10" ht="20.100000000000001" hidden="1" customHeight="1" x14ac:dyDescent="0.25">
      <c r="A37" s="568"/>
      <c r="B37" s="540"/>
      <c r="C37" s="540"/>
      <c r="D37" s="540"/>
      <c r="E37" s="540"/>
      <c r="F37" s="1348"/>
      <c r="G37" s="1726" t="s">
        <v>710</v>
      </c>
      <c r="H37" s="1726"/>
      <c r="I37" s="1726"/>
      <c r="J37" s="1205"/>
    </row>
    <row r="38" spans="1:10" ht="20.100000000000001" hidden="1" customHeight="1" x14ac:dyDescent="0.25">
      <c r="A38" s="568"/>
      <c r="B38" s="540"/>
      <c r="C38" s="540"/>
      <c r="D38" s="540"/>
      <c r="E38" s="540"/>
      <c r="F38" s="1348"/>
      <c r="G38" s="1726" t="s">
        <v>711</v>
      </c>
      <c r="H38" s="1726"/>
      <c r="I38" s="1726"/>
      <c r="J38" s="1205"/>
    </row>
    <row r="39" spans="1:10" ht="20.100000000000001" customHeight="1" x14ac:dyDescent="0.25">
      <c r="A39" s="568"/>
      <c r="B39" s="593" t="s">
        <v>1773</v>
      </c>
      <c r="C39" s="297"/>
      <c r="D39" s="570">
        <f>IF('Project Information'!L4="Yes",0.055,0.06)</f>
        <v>0.06</v>
      </c>
      <c r="E39" s="571">
        <f>IF(OR(G39=$G$35,G39=$G$37),40,30)</f>
        <v>30</v>
      </c>
      <c r="F39" s="1349">
        <f>IF(OR(G39=$G$38,G39=$G$37,G39=$G$36),C39*D39/12,PMT(D39/12,E39*12,C39)*-1)</f>
        <v>0</v>
      </c>
      <c r="G39" s="1730" t="s">
        <v>711</v>
      </c>
      <c r="H39" s="1730"/>
      <c r="I39" s="1730"/>
      <c r="J39" s="1205">
        <v>30</v>
      </c>
    </row>
    <row r="40" spans="1:10" ht="20.100000000000001" hidden="1" customHeight="1" x14ac:dyDescent="0.25">
      <c r="A40" s="568"/>
      <c r="B40" s="593" t="s">
        <v>1774</v>
      </c>
      <c r="C40" s="297"/>
      <c r="D40" s="570">
        <f>IF('Project Information'!L4="Yes",0.055,0.06)</f>
        <v>0.06</v>
      </c>
      <c r="E40" s="571">
        <f>IF(OR(G40=$G$35,G40=$G$37),40,30)</f>
        <v>30</v>
      </c>
      <c r="F40" s="1349">
        <f>IF(OR(G40=$G$38,G40=$G$37,G40=$G$36),C40*D40/12,PMT(D40/12,E40*12,C40)*-1)</f>
        <v>0</v>
      </c>
      <c r="G40" s="1730" t="s">
        <v>1783</v>
      </c>
      <c r="H40" s="1730"/>
      <c r="I40" s="1730"/>
      <c r="J40" s="1205"/>
    </row>
    <row r="41" spans="1:10" ht="20.100000000000001" hidden="1" customHeight="1" x14ac:dyDescent="0.25">
      <c r="A41" s="568"/>
      <c r="B41" s="593" t="s">
        <v>1775</v>
      </c>
      <c r="C41" s="297">
        <f>IF('Tax Credit Calculations'!D38="Yes",'MH Underwriting'!V17,0)</f>
        <v>0</v>
      </c>
      <c r="D41" s="570">
        <f>IF('MH Underwriting'!V17&gt;0,0.05,IF('Project Information'!L4="Yes",0.055,0.06))</f>
        <v>0.06</v>
      </c>
      <c r="E41" s="571">
        <f>IF('MH Underwriting'!V17&gt;0,IF('MH Underwriting'!V14&gt;5000000,5,4),IF(OR(G41=$G$35,G41=$G$37),40,30))</f>
        <v>30</v>
      </c>
      <c r="F41" s="1349">
        <f>IF('MH Underwriting'!V17&gt;0,0,IF(OR(G41=$G$38,G41=$G$37,G41=$G$36),C41*D41/12,PMT(D41/12,E41*12,C41)*-1))</f>
        <v>0</v>
      </c>
      <c r="G41" s="1730" t="s">
        <v>1783</v>
      </c>
      <c r="H41" s="1730"/>
      <c r="I41" s="1730"/>
      <c r="J41" s="1205"/>
    </row>
    <row r="42" spans="1:10" ht="20.100000000000001" customHeight="1" x14ac:dyDescent="0.25">
      <c r="A42" s="567" t="s">
        <v>587</v>
      </c>
      <c r="B42" s="568"/>
      <c r="C42" s="569"/>
      <c r="D42" s="569"/>
      <c r="E42" s="569"/>
      <c r="F42" s="1350"/>
      <c r="J42" s="1205"/>
    </row>
    <row r="43" spans="1:10" ht="20.100000000000001" customHeight="1" x14ac:dyDescent="0.25">
      <c r="A43" s="568"/>
      <c r="B43" s="598" t="s">
        <v>769</v>
      </c>
      <c r="C43" s="283"/>
      <c r="D43" s="282">
        <v>7.0000000000000007E-2</v>
      </c>
      <c r="E43" s="591">
        <v>30</v>
      </c>
      <c r="F43" s="1351">
        <f>IF(C43&lt;1,0,PMT(D43/12,E43*12,C43)*-1)</f>
        <v>0</v>
      </c>
      <c r="G43" s="1720" t="s">
        <v>1784</v>
      </c>
      <c r="H43" s="1721"/>
      <c r="I43" s="1722"/>
      <c r="J43" s="1205">
        <v>30</v>
      </c>
    </row>
    <row r="44" spans="1:10" ht="20.100000000000001" customHeight="1" x14ac:dyDescent="0.25">
      <c r="A44" s="567" t="s">
        <v>586</v>
      </c>
      <c r="B44" s="568"/>
      <c r="C44" s="569"/>
      <c r="D44" s="569"/>
      <c r="E44" s="569"/>
      <c r="F44" s="1350"/>
      <c r="G44" s="594"/>
      <c r="H44" s="594"/>
      <c r="I44" s="594"/>
      <c r="J44" s="1205"/>
    </row>
    <row r="45" spans="1:10" ht="20.100000000000001" customHeight="1" x14ac:dyDescent="0.25">
      <c r="A45" s="568"/>
      <c r="B45" s="595" t="str">
        <f>IF(B17="","",B17)</f>
        <v>City FEDHOME*</v>
      </c>
      <c r="C45" s="580"/>
      <c r="D45" s="581">
        <v>0</v>
      </c>
      <c r="E45" s="582">
        <v>30</v>
      </c>
      <c r="F45" s="1345">
        <f>C45*D45/12</f>
        <v>0</v>
      </c>
      <c r="G45" s="1738" t="s">
        <v>1143</v>
      </c>
      <c r="H45" s="1739"/>
      <c r="I45" s="1740"/>
      <c r="J45" s="1205">
        <v>30</v>
      </c>
    </row>
    <row r="46" spans="1:10" ht="20.100000000000001" customHeight="1" x14ac:dyDescent="0.25">
      <c r="A46" s="568"/>
      <c r="B46" s="596" t="str">
        <f>IF(B18="","",B18)</f>
        <v>AHP Capital Advance*</v>
      </c>
      <c r="C46" s="584"/>
      <c r="D46" s="585">
        <v>0</v>
      </c>
      <c r="E46" s="586">
        <v>30</v>
      </c>
      <c r="F46" s="1346">
        <v>0</v>
      </c>
      <c r="G46" s="1741" t="s">
        <v>712</v>
      </c>
      <c r="H46" s="1742"/>
      <c r="I46" s="1743"/>
      <c r="J46" s="1205">
        <v>30</v>
      </c>
    </row>
    <row r="47" spans="1:10" ht="20.100000000000001" customHeight="1" x14ac:dyDescent="0.25">
      <c r="A47" s="568"/>
      <c r="B47" s="597" t="str">
        <f>IF(B19="","",B19)</f>
        <v>TIF Loan*</v>
      </c>
      <c r="C47" s="588"/>
      <c r="D47" s="589"/>
      <c r="E47" s="590">
        <v>30</v>
      </c>
      <c r="F47" s="1347">
        <f>IF(C47&lt;1,0,PMT(D47/12,E47*12,C47)*-1)</f>
        <v>0</v>
      </c>
      <c r="G47" s="1744" t="s">
        <v>706</v>
      </c>
      <c r="H47" s="1745"/>
      <c r="I47" s="1746"/>
      <c r="J47" s="1205">
        <v>30</v>
      </c>
    </row>
    <row r="48" spans="1:10" ht="20.100000000000001" customHeight="1" x14ac:dyDescent="0.25">
      <c r="A48" s="568"/>
      <c r="B48" s="598" t="s">
        <v>41</v>
      </c>
      <c r="C48" s="283"/>
      <c r="D48" s="282"/>
      <c r="E48" s="591">
        <v>30</v>
      </c>
      <c r="F48" s="1351">
        <f>IF(C48&lt;1,0,PMT(D48/12,E48*12,C48)*-1)</f>
        <v>0</v>
      </c>
      <c r="G48" s="1720"/>
      <c r="H48" s="1721"/>
      <c r="I48" s="1722"/>
      <c r="J48" s="1205">
        <v>30</v>
      </c>
    </row>
    <row r="49" spans="1:10" ht="20.100000000000001" customHeight="1" x14ac:dyDescent="0.25">
      <c r="A49" s="568"/>
      <c r="B49" s="598" t="s">
        <v>41</v>
      </c>
      <c r="C49" s="283"/>
      <c r="D49" s="282"/>
      <c r="E49" s="591">
        <v>30</v>
      </c>
      <c r="F49" s="1351">
        <f>IF(C49&lt;1,0,PMT(D49/12,E49*12,C49)*-1)</f>
        <v>0</v>
      </c>
      <c r="G49" s="1720"/>
      <c r="H49" s="1721"/>
      <c r="I49" s="1722"/>
      <c r="J49" s="1205">
        <v>30</v>
      </c>
    </row>
    <row r="50" spans="1:10" ht="20.100000000000001" customHeight="1" x14ac:dyDescent="0.25">
      <c r="A50" s="599" t="s">
        <v>541</v>
      </c>
      <c r="G50" s="594"/>
      <c r="H50" s="594"/>
      <c r="I50" s="594"/>
      <c r="J50" s="1205"/>
    </row>
    <row r="51" spans="1:10" ht="20.100000000000001" customHeight="1" x14ac:dyDescent="0.25">
      <c r="A51" s="568"/>
      <c r="B51" s="600" t="str">
        <f>IF(B15="","",B15)</f>
        <v>Grant*</v>
      </c>
      <c r="C51" s="577"/>
      <c r="D51" s="578"/>
      <c r="E51" s="578"/>
      <c r="F51" s="1328"/>
      <c r="G51" s="1727"/>
      <c r="H51" s="1728"/>
      <c r="I51" s="1729"/>
      <c r="J51" s="1205"/>
    </row>
    <row r="52" spans="1:10" ht="20.100000000000001" customHeight="1" x14ac:dyDescent="0.25">
      <c r="A52" s="599" t="s">
        <v>590</v>
      </c>
      <c r="J52" s="1205"/>
    </row>
    <row r="53" spans="1:10" ht="20.100000000000001" customHeight="1" x14ac:dyDescent="0.25">
      <c r="A53" s="568"/>
      <c r="B53" s="524" t="s">
        <v>687</v>
      </c>
      <c r="C53" s="283"/>
      <c r="D53" s="282"/>
      <c r="E53" s="591"/>
      <c r="F53" s="1328"/>
      <c r="G53" s="1720" t="s">
        <v>688</v>
      </c>
      <c r="H53" s="1721"/>
      <c r="I53" s="1722"/>
      <c r="J53" s="1205">
        <v>30</v>
      </c>
    </row>
    <row r="54" spans="1:10" ht="20.100000000000001" customHeight="1" x14ac:dyDescent="0.25">
      <c r="A54" s="568"/>
      <c r="B54" s="525" t="s">
        <v>582</v>
      </c>
      <c r="C54" s="283"/>
      <c r="D54" s="282"/>
      <c r="E54" s="591"/>
      <c r="F54" s="1328"/>
      <c r="G54" s="1720" t="s">
        <v>688</v>
      </c>
      <c r="H54" s="1721"/>
      <c r="I54" s="1722"/>
      <c r="J54" s="1205"/>
    </row>
    <row r="55" spans="1:10" ht="20.100000000000001" customHeight="1" x14ac:dyDescent="0.25">
      <c r="A55" s="568"/>
      <c r="B55" s="1191" t="str">
        <f>IF(B13="","",B13)</f>
        <v>GP Contribution  + Syndicator TBD</v>
      </c>
      <c r="C55" s="1192" t="str">
        <f>IF('Tax Credit Calculations'!Q50=0,"",IF('Tax Credit Calculations'!D38="Yes",'Tax Credit Calculations'!Q50+'MH Underwriting'!V19-C13-'Tax Credit Calculations'!D46,'Tax Credit Calculations'!Q50+'MH Underwriting'!V19-C13))</f>
        <v/>
      </c>
      <c r="D55" s="1193"/>
      <c r="E55" s="1193"/>
      <c r="F55" s="1330"/>
      <c r="G55" s="1723" t="s">
        <v>583</v>
      </c>
      <c r="H55" s="1724"/>
      <c r="I55" s="1725"/>
      <c r="J55" s="1205"/>
    </row>
    <row r="56" spans="1:10" ht="20.100000000000001" hidden="1" customHeight="1" x14ac:dyDescent="0.25">
      <c r="A56" s="568"/>
      <c r="B56" s="1188" t="s">
        <v>1144</v>
      </c>
      <c r="C56" s="1303"/>
      <c r="D56" s="1189" t="str">
        <f>IF(C56="","",0.96)</f>
        <v/>
      </c>
      <c r="E56" s="1190" t="str">
        <f>IF(D56="","",C56*D56)</f>
        <v/>
      </c>
      <c r="F56" s="1331"/>
      <c r="G56" s="1753"/>
      <c r="H56" s="1754"/>
      <c r="I56" s="1755"/>
    </row>
    <row r="57" spans="1:10" ht="13.8" thickBot="1" x14ac:dyDescent="0.3">
      <c r="A57" s="568"/>
      <c r="B57" s="568"/>
      <c r="C57" s="569"/>
      <c r="D57" s="569"/>
      <c r="E57" s="569"/>
      <c r="F57" s="1326"/>
    </row>
    <row r="58" spans="1:10" ht="20.100000000000001" customHeight="1" thickBot="1" x14ac:dyDescent="0.3">
      <c r="A58" s="540"/>
      <c r="B58" s="592" t="s">
        <v>592</v>
      </c>
      <c r="C58" s="284">
        <f>SUM(C32:C56)</f>
        <v>0</v>
      </c>
      <c r="F58" s="1332">
        <f>SUM(F32:F55)+SUM(F17:F19)</f>
        <v>0</v>
      </c>
      <c r="G58" s="601"/>
      <c r="H58" s="1756" t="str">
        <f>IF(C32+C39=0,"",IF('MH Underwriting'!W82&lt;55%,"POTENTIAL 50% PROBLEM, DISCUSS WITH MAINEHOUSING",""))</f>
        <v/>
      </c>
      <c r="I58" s="1756"/>
    </row>
    <row r="59" spans="1:10" s="248" customFormat="1" ht="24" customHeight="1" x14ac:dyDescent="0.25">
      <c r="A59" s="540"/>
      <c r="B59" s="545" t="s">
        <v>161</v>
      </c>
      <c r="C59" s="546"/>
      <c r="D59" s="546"/>
      <c r="E59" s="546"/>
      <c r="F59" s="1333" t="s">
        <v>162</v>
      </c>
      <c r="G59" s="601"/>
      <c r="H59" s="1756"/>
      <c r="I59" s="1756"/>
    </row>
    <row r="60" spans="1:10" x14ac:dyDescent="0.25">
      <c r="A60" s="540"/>
      <c r="F60" s="1333"/>
      <c r="G60" s="286"/>
      <c r="H60" s="286"/>
      <c r="I60" s="286"/>
    </row>
    <row r="61" spans="1:10" ht="20.100000000000001" customHeight="1" x14ac:dyDescent="0.25">
      <c r="A61" s="540"/>
      <c r="B61" s="602" t="s">
        <v>163</v>
      </c>
      <c r="C61" s="603"/>
      <c r="D61" s="603"/>
      <c r="E61" s="604"/>
      <c r="F61" s="1329">
        <f>F58*12</f>
        <v>0</v>
      </c>
      <c r="G61" s="605"/>
      <c r="H61" s="605"/>
      <c r="I61" s="605"/>
    </row>
    <row r="62" spans="1:10" ht="13.8" thickBot="1" x14ac:dyDescent="0.3">
      <c r="B62" s="285"/>
      <c r="G62" s="606"/>
      <c r="H62" s="1757" t="str">
        <f>IF(F63="","",IF(G63&gt;0,"TO ELIMINATE SURPLUS:  REDUCE MAINEHOUSING SUBSIDY LOAN FIRST, THEN ADJUST LIHTC, IF NECESSARY",""))</f>
        <v/>
      </c>
      <c r="I62" s="1757"/>
    </row>
    <row r="63" spans="1:10" ht="20.100000000000001" customHeight="1" thickBot="1" x14ac:dyDescent="0.3">
      <c r="B63" s="592" t="s">
        <v>639</v>
      </c>
      <c r="C63" s="284">
        <f>C58+SUM(C11:C19)+C23</f>
        <v>0</v>
      </c>
      <c r="D63" s="607"/>
      <c r="E63" s="540"/>
      <c r="F63" s="1334" t="str">
        <f>IF(C63&lt;'Project Costs &amp; Basis'!E125-0.5,"FUNDING GAP OF",IF(C63&gt;'Project Costs &amp; Basis'!E125+0.5,"FUNDING SURPLUS OF",""))</f>
        <v/>
      </c>
      <c r="G63" s="608" t="str">
        <f>IF(C63&lt;'Project Costs &amp; Basis'!E125-0.5,C63-'Project Costs &amp; Basis'!E125,IF(C63&gt;'Project Costs &amp; Basis'!E125+0.5,C63-'Project Costs &amp; Basis'!E125,""))</f>
        <v/>
      </c>
      <c r="H63" s="1757"/>
      <c r="I63" s="1757"/>
    </row>
    <row r="64" spans="1:10" x14ac:dyDescent="0.25">
      <c r="B64" s="1750" t="str">
        <f>IF('Project Information'!L4="No",IF('Tax Credit Calculations'!D6="No",IF(C11+C32&lt;=3000000,IF(C11+C32&lt;='Project Information'!M8,"","REQUESTING TOO MUCH SUBSIDY"),"REQUESTING TOO MUCH SUBSIDY"),"NOT ELIGIBLE FOR SUBSIDY"),IF('Tax Credit Calculations'!D6="No",IF(C11+C32&lt;=6000000,IF(C11+C32&lt;='Project Information'!M8,"","REQUESTING TOO MUCH SUBSIDY"),"REQUESTING TOO MUCH SUBSIDY"),IF(C11+C32&lt;=6000000,IF(C11+C32&lt;='Project Information'!M8,"","REQUESTING TOO MUCH SUBSIDY"),"REQUESTING TOO MUCH SUBSIDY")))</f>
        <v/>
      </c>
      <c r="C64" s="1750"/>
      <c r="D64" s="540"/>
      <c r="E64" s="533" t="str">
        <f>IF(B64="","",IF('Tax Credit Calculations'!D6="Yes","","PROGRAM CAP IS"))</f>
        <v/>
      </c>
      <c r="F64" s="1335" t="str">
        <f>IF(E64="","",'Project Information'!M8)</f>
        <v/>
      </c>
      <c r="H64" s="1757"/>
      <c r="I64" s="1757"/>
    </row>
    <row r="65" spans="1:9" x14ac:dyDescent="0.25">
      <c r="B65" s="285"/>
      <c r="H65" s="1757"/>
      <c r="I65" s="1757"/>
    </row>
    <row r="66" spans="1:9" x14ac:dyDescent="0.25">
      <c r="B66" s="285"/>
    </row>
    <row r="67" spans="1:9" ht="20.100000000000001" customHeight="1" x14ac:dyDescent="0.25">
      <c r="A67" s="243"/>
      <c r="B67" s="243"/>
      <c r="C67" s="243"/>
      <c r="D67" s="243"/>
      <c r="E67" s="6"/>
      <c r="F67" s="1336"/>
      <c r="G67" s="249"/>
      <c r="H67" s="248"/>
      <c r="I67" s="248"/>
    </row>
    <row r="70" spans="1:9" x14ac:dyDescent="0.25">
      <c r="G70" s="609"/>
      <c r="H70" s="609"/>
      <c r="I70" s="609"/>
    </row>
    <row r="71" spans="1:9" x14ac:dyDescent="0.25">
      <c r="G71" s="540"/>
      <c r="H71" s="540"/>
      <c r="I71" s="540"/>
    </row>
  </sheetData>
  <sheetProtection algorithmName="SHA-512" hashValue="2E8GCQG+nMYa4Dv8+LhG6RnjLQHtGUzKMaVtGV6jytsE3mZnoUvxGZ4x4byJNNZW4uPdVQOd6+lFNMP3Itae0A==" saltValue="yTwJL1qg/byqKrmgMHYa8A==" spinCount="100000" sheet="1" objects="1" scenarios="1" selectLockedCells="1"/>
  <mergeCells count="35">
    <mergeCell ref="B64:C64"/>
    <mergeCell ref="A29:G29"/>
    <mergeCell ref="G43:I43"/>
    <mergeCell ref="G45:I45"/>
    <mergeCell ref="G46:I46"/>
    <mergeCell ref="G47:I47"/>
    <mergeCell ref="G33:I33"/>
    <mergeCell ref="G34:I34"/>
    <mergeCell ref="G56:I56"/>
    <mergeCell ref="H58:I59"/>
    <mergeCell ref="H62:I65"/>
    <mergeCell ref="A9:G9"/>
    <mergeCell ref="G13:I13"/>
    <mergeCell ref="G23:I23"/>
    <mergeCell ref="G21:I21"/>
    <mergeCell ref="G17:I17"/>
    <mergeCell ref="G18:I18"/>
    <mergeCell ref="G19:I19"/>
    <mergeCell ref="G15:I15"/>
    <mergeCell ref="E25:H26"/>
    <mergeCell ref="G54:I54"/>
    <mergeCell ref="G55:I55"/>
    <mergeCell ref="G36:I36"/>
    <mergeCell ref="G48:I48"/>
    <mergeCell ref="G49:I49"/>
    <mergeCell ref="G51:I51"/>
    <mergeCell ref="G53:I53"/>
    <mergeCell ref="G40:I40"/>
    <mergeCell ref="G41:I41"/>
    <mergeCell ref="A28:G28"/>
    <mergeCell ref="G35:I35"/>
    <mergeCell ref="G37:I37"/>
    <mergeCell ref="G38:I38"/>
    <mergeCell ref="G39:I39"/>
    <mergeCell ref="G32:I32"/>
  </mergeCells>
  <phoneticPr fontId="11" type="noConversion"/>
  <dataValidations disablePrompts="1" count="3">
    <dataValidation type="list" allowBlank="1" showInputMessage="1" showErrorMessage="1" sqref="G39:I40" xr:uid="{00000000-0002-0000-1800-000000000000}">
      <formula1>$G$33:$G$38</formula1>
    </dataValidation>
    <dataValidation type="list" allowBlank="1" showInputMessage="1" showErrorMessage="1" sqref="G47:I47" xr:uid="{00000000-0002-0000-1800-000001000000}">
      <formula1>$G$39:$G$46</formula1>
    </dataValidation>
    <dataValidation type="list" errorStyle="warning" allowBlank="1" showInputMessage="1" showErrorMessage="1" sqref="G41:I41" xr:uid="{00000000-0002-0000-1800-000002000000}">
      <formula1>$G$33:$G$38</formula1>
    </dataValidation>
  </dataValidations>
  <printOptions horizontalCentered="1"/>
  <pageMargins left="0.5" right="0.5" top="0.5" bottom="0.05" header="0.5" footer="0.5"/>
  <pageSetup scale="65"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5"/>
  <dimension ref="A1:K639"/>
  <sheetViews>
    <sheetView zoomScaleNormal="100" zoomScaleSheetLayoutView="98" workbookViewId="0">
      <selection activeCell="N388" sqref="N388"/>
    </sheetView>
  </sheetViews>
  <sheetFormatPr defaultColWidth="8.88671875" defaultRowHeight="13.2" x14ac:dyDescent="0.25"/>
  <cols>
    <col min="1" max="1" width="15.6640625" style="883" bestFit="1" customWidth="1"/>
    <col min="2" max="2" width="8.88671875" style="883" hidden="1" customWidth="1"/>
    <col min="3" max="3" width="13.44140625" style="883" customWidth="1"/>
    <col min="4" max="4" width="13.6640625" style="883" customWidth="1"/>
    <col min="5" max="5" width="12" style="883" customWidth="1"/>
    <col min="6" max="6" width="4.88671875" style="883" customWidth="1"/>
    <col min="7" max="7" width="27.109375" style="883" bestFit="1" customWidth="1"/>
    <col min="8" max="8" width="11.6640625" style="883" customWidth="1"/>
    <col min="9" max="9" width="4.88671875" style="883" customWidth="1"/>
    <col min="10" max="10" width="27.109375" style="883" bestFit="1" customWidth="1"/>
    <col min="11" max="11" width="11.6640625" style="883" customWidth="1"/>
    <col min="12" max="16384" width="8.88671875" style="883"/>
  </cols>
  <sheetData>
    <row r="1" spans="1:11" x14ac:dyDescent="0.25">
      <c r="A1" s="880" t="s">
        <v>500</v>
      </c>
      <c r="B1" s="881"/>
      <c r="C1" s="882" t="str">
        <f>'Project Information'!D4</f>
        <v>Project Name</v>
      </c>
    </row>
    <row r="2" spans="1:11" x14ac:dyDescent="0.25">
      <c r="A2" s="880" t="s">
        <v>499</v>
      </c>
      <c r="B2" s="881"/>
      <c r="C2" s="882">
        <f>'Project Information'!D8</f>
        <v>0</v>
      </c>
      <c r="G2" s="884"/>
      <c r="J2" s="884"/>
    </row>
    <row r="3" spans="1:11" x14ac:dyDescent="0.25">
      <c r="G3" s="884"/>
      <c r="J3" s="884"/>
    </row>
    <row r="4" spans="1:11" x14ac:dyDescent="0.25">
      <c r="A4" s="885" t="s">
        <v>961</v>
      </c>
      <c r="C4" s="886"/>
      <c r="D4" s="886"/>
      <c r="E4" s="886"/>
    </row>
    <row r="5" spans="1:11" ht="13.8" thickBot="1" x14ac:dyDescent="0.3"/>
    <row r="6" spans="1:11" x14ac:dyDescent="0.25">
      <c r="A6" s="1758" t="s">
        <v>962</v>
      </c>
      <c r="B6" s="1759"/>
      <c r="C6" s="1759"/>
      <c r="D6" s="1759"/>
      <c r="E6" s="1760"/>
      <c r="G6" s="1758" t="s">
        <v>963</v>
      </c>
      <c r="H6" s="1760"/>
      <c r="J6" s="1758" t="s">
        <v>963</v>
      </c>
      <c r="K6" s="1760"/>
    </row>
    <row r="7" spans="1:11" ht="13.8" thickBot="1" x14ac:dyDescent="0.3">
      <c r="A7" s="1761"/>
      <c r="B7" s="1762"/>
      <c r="C7" s="1762"/>
      <c r="D7" s="1762"/>
      <c r="E7" s="1763"/>
      <c r="G7" s="1761"/>
      <c r="H7" s="1763"/>
      <c r="J7" s="1761"/>
      <c r="K7" s="1763"/>
    </row>
    <row r="8" spans="1:11" ht="13.8" thickBot="1" x14ac:dyDescent="0.3">
      <c r="A8" s="887"/>
      <c r="B8" s="888"/>
      <c r="C8" s="888"/>
      <c r="D8" s="888"/>
      <c r="E8" s="889"/>
      <c r="G8" s="887"/>
      <c r="H8" s="889"/>
      <c r="J8" s="887"/>
      <c r="K8" s="889"/>
    </row>
    <row r="9" spans="1:11" ht="13.8" thickBot="1" x14ac:dyDescent="0.3">
      <c r="A9" s="891" t="s">
        <v>333</v>
      </c>
      <c r="C9" s="891" t="s">
        <v>1017</v>
      </c>
      <c r="D9" s="891" t="s">
        <v>964</v>
      </c>
      <c r="E9" s="967" t="s">
        <v>965</v>
      </c>
      <c r="G9" s="892" t="s">
        <v>333</v>
      </c>
      <c r="H9" s="893"/>
      <c r="J9" s="892" t="s">
        <v>333</v>
      </c>
      <c r="K9" s="893"/>
    </row>
    <row r="10" spans="1:11" ht="13.8" thickBot="1" x14ac:dyDescent="0.3">
      <c r="E10" s="968"/>
      <c r="G10" s="890"/>
      <c r="H10" s="969"/>
      <c r="J10" s="890"/>
      <c r="K10" s="969"/>
    </row>
    <row r="11" spans="1:11" ht="13.8" thickBot="1" x14ac:dyDescent="0.3">
      <c r="A11" s="894"/>
      <c r="C11" s="895">
        <v>30</v>
      </c>
      <c r="D11" s="895">
        <v>20</v>
      </c>
      <c r="E11" s="896">
        <v>0.03</v>
      </c>
      <c r="G11" s="892" t="s">
        <v>964</v>
      </c>
      <c r="H11" s="893">
        <v>30</v>
      </c>
      <c r="J11" s="892" t="s">
        <v>964</v>
      </c>
      <c r="K11" s="893">
        <v>30</v>
      </c>
    </row>
    <row r="12" spans="1:11" ht="13.8" thickBot="1" x14ac:dyDescent="0.3">
      <c r="A12" s="890"/>
      <c r="C12" s="897"/>
      <c r="D12" s="898"/>
      <c r="E12" s="970"/>
      <c r="G12" s="892"/>
      <c r="H12" s="971"/>
      <c r="J12" s="892"/>
      <c r="K12" s="971"/>
    </row>
    <row r="13" spans="1:11" ht="13.8" thickBot="1" x14ac:dyDescent="0.3">
      <c r="A13" s="890"/>
      <c r="C13" s="899"/>
      <c r="D13" s="900"/>
      <c r="E13" s="972"/>
      <c r="G13" s="892" t="s">
        <v>965</v>
      </c>
      <c r="H13" s="901">
        <v>0.03</v>
      </c>
      <c r="J13" s="892" t="s">
        <v>965</v>
      </c>
      <c r="K13" s="901">
        <v>0</v>
      </c>
    </row>
    <row r="14" spans="1:11" ht="13.8" thickBot="1" x14ac:dyDescent="0.3">
      <c r="A14" s="890"/>
      <c r="C14" s="902" t="str">
        <f>"@"</f>
        <v>@</v>
      </c>
      <c r="D14" s="902" t="str">
        <f>"@"</f>
        <v>@</v>
      </c>
      <c r="E14" s="973"/>
      <c r="G14" s="890"/>
      <c r="H14" s="974"/>
      <c r="J14" s="890"/>
      <c r="K14" s="974"/>
    </row>
    <row r="15" spans="1:11" ht="13.8" thickBot="1" x14ac:dyDescent="0.3">
      <c r="A15" s="890"/>
      <c r="C15" s="903">
        <f>H15</f>
        <v>4.5399999999999996E-2</v>
      </c>
      <c r="D15" s="904">
        <f>E11</f>
        <v>0.03</v>
      </c>
      <c r="E15" s="967" t="s">
        <v>966</v>
      </c>
      <c r="G15" s="905" t="s">
        <v>967</v>
      </c>
      <c r="H15" s="975">
        <f>1.54%+3%</f>
        <v>4.5399999999999996E-2</v>
      </c>
      <c r="J15" s="905" t="s">
        <v>967</v>
      </c>
      <c r="K15" s="976">
        <f>H15</f>
        <v>4.5399999999999996E-2</v>
      </c>
    </row>
    <row r="16" spans="1:11" x14ac:dyDescent="0.25">
      <c r="A16" s="890"/>
      <c r="E16" s="977"/>
      <c r="G16" s="890"/>
      <c r="H16" s="968"/>
      <c r="J16" s="890"/>
      <c r="K16" s="968"/>
    </row>
    <row r="17" spans="1:11" x14ac:dyDescent="0.25">
      <c r="A17" s="890"/>
      <c r="C17" s="906"/>
      <c r="D17" s="906"/>
      <c r="E17" s="977"/>
      <c r="G17" s="890"/>
      <c r="H17" s="968"/>
      <c r="J17" s="890"/>
      <c r="K17" s="968"/>
    </row>
    <row r="18" spans="1:11" x14ac:dyDescent="0.25">
      <c r="A18" s="907" t="s">
        <v>968</v>
      </c>
      <c r="C18" s="906"/>
      <c r="D18" s="906"/>
      <c r="E18" s="977"/>
      <c r="G18" s="890"/>
      <c r="H18" s="968"/>
      <c r="J18" s="890"/>
      <c r="K18" s="968"/>
    </row>
    <row r="19" spans="1:11" x14ac:dyDescent="0.25">
      <c r="A19" s="907" t="s">
        <v>969</v>
      </c>
      <c r="B19" s="883">
        <v>1</v>
      </c>
      <c r="C19" s="908">
        <f>PMT(C15/12,C11*12,-A11)</f>
        <v>0</v>
      </c>
      <c r="D19" s="908">
        <f>PMT(E11/12,C11*12,-A11)</f>
        <v>0</v>
      </c>
      <c r="E19" s="978">
        <f>C19-D19</f>
        <v>0</v>
      </c>
      <c r="G19" s="892" t="s">
        <v>970</v>
      </c>
      <c r="H19" s="979">
        <f>H9*(1+H15)^H11</f>
        <v>0</v>
      </c>
      <c r="J19" s="892" t="s">
        <v>970</v>
      </c>
      <c r="K19" s="979">
        <f>K9*(1+K15)^K11</f>
        <v>0</v>
      </c>
    </row>
    <row r="20" spans="1:11" x14ac:dyDescent="0.25">
      <c r="A20" s="907"/>
      <c r="C20" s="908"/>
      <c r="D20" s="908"/>
      <c r="E20" s="978"/>
      <c r="G20" s="892" t="s">
        <v>971</v>
      </c>
      <c r="H20" s="980">
        <f>H9*(1+H13)^H11</f>
        <v>0</v>
      </c>
      <c r="J20" s="892" t="s">
        <v>971</v>
      </c>
      <c r="K20" s="980">
        <f>K9*(1+K13)^K11</f>
        <v>0</v>
      </c>
    </row>
    <row r="21" spans="1:11" x14ac:dyDescent="0.25">
      <c r="A21" s="907" t="str">
        <f>IF(C11&gt;D11,"for","")</f>
        <v>for</v>
      </c>
      <c r="C21" s="908"/>
      <c r="D21" s="908"/>
      <c r="E21" s="978"/>
      <c r="G21" s="890"/>
      <c r="H21" s="968"/>
      <c r="J21" s="890"/>
      <c r="K21" s="968"/>
    </row>
    <row r="22" spans="1:11" x14ac:dyDescent="0.25">
      <c r="A22" s="907" t="str">
        <f>IF(A21="","",IF(D11=15,"Fourteen Yrs.",IF(D11=20,"Nineteen Yrs.",IF(D11=25,"Twenty-four Yrs.","Twenty-nine Yrs."))))</f>
        <v>Nineteen Yrs.</v>
      </c>
      <c r="C22" s="908"/>
      <c r="D22" s="908"/>
      <c r="E22" s="978"/>
      <c r="G22" s="892" t="s">
        <v>966</v>
      </c>
      <c r="H22" s="979">
        <f>H19-H20</f>
        <v>0</v>
      </c>
      <c r="J22" s="892" t="s">
        <v>966</v>
      </c>
      <c r="K22" s="979">
        <f>K19-K20</f>
        <v>0</v>
      </c>
    </row>
    <row r="23" spans="1:11" x14ac:dyDescent="0.25">
      <c r="A23" s="907" t="str">
        <f>IF(A22="","","&amp; Eleven Mos.")</f>
        <v>&amp; Eleven Mos.</v>
      </c>
      <c r="C23" s="908"/>
      <c r="D23" s="908"/>
      <c r="E23" s="978"/>
      <c r="G23" s="890"/>
      <c r="H23" s="968"/>
      <c r="J23" s="890"/>
      <c r="K23" s="968"/>
    </row>
    <row r="24" spans="1:11" ht="13.8" thickBot="1" x14ac:dyDescent="0.3">
      <c r="A24" s="890"/>
      <c r="C24" s="908"/>
      <c r="D24" s="908"/>
      <c r="E24" s="978"/>
      <c r="G24" s="981" t="s">
        <v>972</v>
      </c>
      <c r="H24" s="982">
        <f>-PV(H15,H11,0,H22)</f>
        <v>0</v>
      </c>
      <c r="J24" s="981" t="s">
        <v>972</v>
      </c>
      <c r="K24" s="982">
        <f>-PV(K15,K11,0,K22)</f>
        <v>0</v>
      </c>
    </row>
    <row r="25" spans="1:11" hidden="1" x14ac:dyDescent="0.25">
      <c r="A25" s="890"/>
      <c r="B25" s="883">
        <f>B19+1</f>
        <v>2</v>
      </c>
      <c r="C25" s="908">
        <f t="shared" ref="C25:E44" si="0">IF($B25&gt;$C$11*12,"",C$19)</f>
        <v>0</v>
      </c>
      <c r="D25" s="908">
        <f t="shared" si="0"/>
        <v>0</v>
      </c>
      <c r="E25" s="978">
        <f t="shared" si="0"/>
        <v>0</v>
      </c>
    </row>
    <row r="26" spans="1:11" hidden="1" x14ac:dyDescent="0.25">
      <c r="A26" s="890"/>
      <c r="B26" s="883">
        <f t="shared" ref="B26:B89" si="1">B25+1</f>
        <v>3</v>
      </c>
      <c r="C26" s="908">
        <f t="shared" si="0"/>
        <v>0</v>
      </c>
      <c r="D26" s="908">
        <f t="shared" si="0"/>
        <v>0</v>
      </c>
      <c r="E26" s="978">
        <f t="shared" si="0"/>
        <v>0</v>
      </c>
    </row>
    <row r="27" spans="1:11" hidden="1" x14ac:dyDescent="0.25">
      <c r="A27" s="890"/>
      <c r="B27" s="883">
        <f t="shared" si="1"/>
        <v>4</v>
      </c>
      <c r="C27" s="908">
        <f t="shared" si="0"/>
        <v>0</v>
      </c>
      <c r="D27" s="908">
        <f t="shared" si="0"/>
        <v>0</v>
      </c>
      <c r="E27" s="978">
        <f t="shared" si="0"/>
        <v>0</v>
      </c>
    </row>
    <row r="28" spans="1:11" hidden="1" x14ac:dyDescent="0.25">
      <c r="A28" s="890"/>
      <c r="B28" s="883">
        <f t="shared" si="1"/>
        <v>5</v>
      </c>
      <c r="C28" s="908">
        <f t="shared" si="0"/>
        <v>0</v>
      </c>
      <c r="D28" s="908">
        <f t="shared" si="0"/>
        <v>0</v>
      </c>
      <c r="E28" s="978">
        <f t="shared" si="0"/>
        <v>0</v>
      </c>
    </row>
    <row r="29" spans="1:11" hidden="1" x14ac:dyDescent="0.25">
      <c r="A29" s="890"/>
      <c r="B29" s="883">
        <f t="shared" si="1"/>
        <v>6</v>
      </c>
      <c r="C29" s="908">
        <f t="shared" si="0"/>
        <v>0</v>
      </c>
      <c r="D29" s="908">
        <f t="shared" si="0"/>
        <v>0</v>
      </c>
      <c r="E29" s="978">
        <f t="shared" si="0"/>
        <v>0</v>
      </c>
    </row>
    <row r="30" spans="1:11" hidden="1" x14ac:dyDescent="0.25">
      <c r="A30" s="890"/>
      <c r="B30" s="883">
        <f t="shared" si="1"/>
        <v>7</v>
      </c>
      <c r="C30" s="908">
        <f t="shared" si="0"/>
        <v>0</v>
      </c>
      <c r="D30" s="908">
        <f t="shared" si="0"/>
        <v>0</v>
      </c>
      <c r="E30" s="978">
        <f t="shared" si="0"/>
        <v>0</v>
      </c>
    </row>
    <row r="31" spans="1:11" hidden="1" x14ac:dyDescent="0.25">
      <c r="A31" s="890"/>
      <c r="B31" s="883">
        <f t="shared" si="1"/>
        <v>8</v>
      </c>
      <c r="C31" s="908">
        <f t="shared" si="0"/>
        <v>0</v>
      </c>
      <c r="D31" s="908">
        <f t="shared" si="0"/>
        <v>0</v>
      </c>
      <c r="E31" s="978">
        <f t="shared" si="0"/>
        <v>0</v>
      </c>
    </row>
    <row r="32" spans="1:11" hidden="1" x14ac:dyDescent="0.25">
      <c r="A32" s="890"/>
      <c r="B32" s="883">
        <f t="shared" si="1"/>
        <v>9</v>
      </c>
      <c r="C32" s="908">
        <f t="shared" si="0"/>
        <v>0</v>
      </c>
      <c r="D32" s="908">
        <f t="shared" si="0"/>
        <v>0</v>
      </c>
      <c r="E32" s="978">
        <f t="shared" si="0"/>
        <v>0</v>
      </c>
    </row>
    <row r="33" spans="1:5" hidden="1" x14ac:dyDescent="0.25">
      <c r="A33" s="890"/>
      <c r="B33" s="883">
        <f t="shared" si="1"/>
        <v>10</v>
      </c>
      <c r="C33" s="908">
        <f t="shared" si="0"/>
        <v>0</v>
      </c>
      <c r="D33" s="908">
        <f t="shared" si="0"/>
        <v>0</v>
      </c>
      <c r="E33" s="978">
        <f t="shared" si="0"/>
        <v>0</v>
      </c>
    </row>
    <row r="34" spans="1:5" hidden="1" x14ac:dyDescent="0.25">
      <c r="A34" s="890"/>
      <c r="B34" s="883">
        <f t="shared" si="1"/>
        <v>11</v>
      </c>
      <c r="C34" s="908">
        <f t="shared" si="0"/>
        <v>0</v>
      </c>
      <c r="D34" s="908">
        <f t="shared" si="0"/>
        <v>0</v>
      </c>
      <c r="E34" s="978">
        <f t="shared" si="0"/>
        <v>0</v>
      </c>
    </row>
    <row r="35" spans="1:5" hidden="1" x14ac:dyDescent="0.25">
      <c r="A35" s="890"/>
      <c r="B35" s="883">
        <f t="shared" si="1"/>
        <v>12</v>
      </c>
      <c r="C35" s="908">
        <f t="shared" si="0"/>
        <v>0</v>
      </c>
      <c r="D35" s="908">
        <f t="shared" si="0"/>
        <v>0</v>
      </c>
      <c r="E35" s="978">
        <f t="shared" si="0"/>
        <v>0</v>
      </c>
    </row>
    <row r="36" spans="1:5" hidden="1" x14ac:dyDescent="0.25">
      <c r="A36" s="890"/>
      <c r="B36" s="883">
        <f t="shared" si="1"/>
        <v>13</v>
      </c>
      <c r="C36" s="908">
        <f t="shared" si="0"/>
        <v>0</v>
      </c>
      <c r="D36" s="908">
        <f t="shared" si="0"/>
        <v>0</v>
      </c>
      <c r="E36" s="978">
        <f t="shared" si="0"/>
        <v>0</v>
      </c>
    </row>
    <row r="37" spans="1:5" hidden="1" x14ac:dyDescent="0.25">
      <c r="A37" s="890"/>
      <c r="B37" s="883">
        <f t="shared" si="1"/>
        <v>14</v>
      </c>
      <c r="C37" s="908">
        <f t="shared" si="0"/>
        <v>0</v>
      </c>
      <c r="D37" s="908">
        <f t="shared" si="0"/>
        <v>0</v>
      </c>
      <c r="E37" s="978">
        <f t="shared" si="0"/>
        <v>0</v>
      </c>
    </row>
    <row r="38" spans="1:5" hidden="1" x14ac:dyDescent="0.25">
      <c r="A38" s="890"/>
      <c r="B38" s="883">
        <f t="shared" si="1"/>
        <v>15</v>
      </c>
      <c r="C38" s="908">
        <f t="shared" si="0"/>
        <v>0</v>
      </c>
      <c r="D38" s="908">
        <f t="shared" si="0"/>
        <v>0</v>
      </c>
      <c r="E38" s="978">
        <f t="shared" si="0"/>
        <v>0</v>
      </c>
    </row>
    <row r="39" spans="1:5" hidden="1" x14ac:dyDescent="0.25">
      <c r="A39" s="890"/>
      <c r="B39" s="883">
        <f t="shared" si="1"/>
        <v>16</v>
      </c>
      <c r="C39" s="908">
        <f t="shared" si="0"/>
        <v>0</v>
      </c>
      <c r="D39" s="908">
        <f t="shared" si="0"/>
        <v>0</v>
      </c>
      <c r="E39" s="978">
        <f t="shared" si="0"/>
        <v>0</v>
      </c>
    </row>
    <row r="40" spans="1:5" hidden="1" x14ac:dyDescent="0.25">
      <c r="A40" s="890"/>
      <c r="B40" s="883">
        <f t="shared" si="1"/>
        <v>17</v>
      </c>
      <c r="C40" s="908">
        <f t="shared" si="0"/>
        <v>0</v>
      </c>
      <c r="D40" s="908">
        <f t="shared" si="0"/>
        <v>0</v>
      </c>
      <c r="E40" s="978">
        <f t="shared" si="0"/>
        <v>0</v>
      </c>
    </row>
    <row r="41" spans="1:5" hidden="1" x14ac:dyDescent="0.25">
      <c r="A41" s="890"/>
      <c r="B41" s="883">
        <f t="shared" si="1"/>
        <v>18</v>
      </c>
      <c r="C41" s="908">
        <f t="shared" si="0"/>
        <v>0</v>
      </c>
      <c r="D41" s="908">
        <f t="shared" si="0"/>
        <v>0</v>
      </c>
      <c r="E41" s="978">
        <f t="shared" si="0"/>
        <v>0</v>
      </c>
    </row>
    <row r="42" spans="1:5" hidden="1" x14ac:dyDescent="0.25">
      <c r="A42" s="890"/>
      <c r="B42" s="883">
        <f t="shared" si="1"/>
        <v>19</v>
      </c>
      <c r="C42" s="908">
        <f t="shared" si="0"/>
        <v>0</v>
      </c>
      <c r="D42" s="908">
        <f t="shared" si="0"/>
        <v>0</v>
      </c>
      <c r="E42" s="978">
        <f t="shared" si="0"/>
        <v>0</v>
      </c>
    </row>
    <row r="43" spans="1:5" hidden="1" x14ac:dyDescent="0.25">
      <c r="A43" s="890"/>
      <c r="B43" s="883">
        <f t="shared" si="1"/>
        <v>20</v>
      </c>
      <c r="C43" s="908">
        <f t="shared" si="0"/>
        <v>0</v>
      </c>
      <c r="D43" s="908">
        <f t="shared" si="0"/>
        <v>0</v>
      </c>
      <c r="E43" s="978">
        <f t="shared" si="0"/>
        <v>0</v>
      </c>
    </row>
    <row r="44" spans="1:5" hidden="1" x14ac:dyDescent="0.25">
      <c r="A44" s="890"/>
      <c r="B44" s="883">
        <f t="shared" si="1"/>
        <v>21</v>
      </c>
      <c r="C44" s="908">
        <f t="shared" si="0"/>
        <v>0</v>
      </c>
      <c r="D44" s="908">
        <f t="shared" si="0"/>
        <v>0</v>
      </c>
      <c r="E44" s="978">
        <f t="shared" si="0"/>
        <v>0</v>
      </c>
    </row>
    <row r="45" spans="1:5" hidden="1" x14ac:dyDescent="0.25">
      <c r="A45" s="890"/>
      <c r="B45" s="883">
        <f t="shared" si="1"/>
        <v>22</v>
      </c>
      <c r="C45" s="908">
        <f t="shared" ref="C45:E64" si="2">IF($B45&gt;$C$11*12,"",C$19)</f>
        <v>0</v>
      </c>
      <c r="D45" s="908">
        <f t="shared" si="2"/>
        <v>0</v>
      </c>
      <c r="E45" s="978">
        <f t="shared" si="2"/>
        <v>0</v>
      </c>
    </row>
    <row r="46" spans="1:5" hidden="1" x14ac:dyDescent="0.25">
      <c r="A46" s="890"/>
      <c r="B46" s="883">
        <f t="shared" si="1"/>
        <v>23</v>
      </c>
      <c r="C46" s="908">
        <f t="shared" si="2"/>
        <v>0</v>
      </c>
      <c r="D46" s="908">
        <f t="shared" si="2"/>
        <v>0</v>
      </c>
      <c r="E46" s="978">
        <f t="shared" si="2"/>
        <v>0</v>
      </c>
    </row>
    <row r="47" spans="1:5" hidden="1" x14ac:dyDescent="0.25">
      <c r="A47" s="890"/>
      <c r="B47" s="883">
        <f t="shared" si="1"/>
        <v>24</v>
      </c>
      <c r="C47" s="908">
        <f t="shared" si="2"/>
        <v>0</v>
      </c>
      <c r="D47" s="908">
        <f t="shared" si="2"/>
        <v>0</v>
      </c>
      <c r="E47" s="978">
        <f t="shared" si="2"/>
        <v>0</v>
      </c>
    </row>
    <row r="48" spans="1:5" hidden="1" x14ac:dyDescent="0.25">
      <c r="A48" s="890"/>
      <c r="B48" s="883">
        <f t="shared" si="1"/>
        <v>25</v>
      </c>
      <c r="C48" s="908">
        <f t="shared" si="2"/>
        <v>0</v>
      </c>
      <c r="D48" s="908">
        <f t="shared" si="2"/>
        <v>0</v>
      </c>
      <c r="E48" s="978">
        <f t="shared" si="2"/>
        <v>0</v>
      </c>
    </row>
    <row r="49" spans="1:5" hidden="1" x14ac:dyDescent="0.25">
      <c r="A49" s="890"/>
      <c r="B49" s="883">
        <f t="shared" si="1"/>
        <v>26</v>
      </c>
      <c r="C49" s="908">
        <f t="shared" si="2"/>
        <v>0</v>
      </c>
      <c r="D49" s="908">
        <f t="shared" si="2"/>
        <v>0</v>
      </c>
      <c r="E49" s="978">
        <f t="shared" si="2"/>
        <v>0</v>
      </c>
    </row>
    <row r="50" spans="1:5" hidden="1" x14ac:dyDescent="0.25">
      <c r="A50" s="890"/>
      <c r="B50" s="883">
        <f t="shared" si="1"/>
        <v>27</v>
      </c>
      <c r="C50" s="908">
        <f t="shared" si="2"/>
        <v>0</v>
      </c>
      <c r="D50" s="908">
        <f t="shared" si="2"/>
        <v>0</v>
      </c>
      <c r="E50" s="978">
        <f t="shared" si="2"/>
        <v>0</v>
      </c>
    </row>
    <row r="51" spans="1:5" hidden="1" x14ac:dyDescent="0.25">
      <c r="A51" s="890"/>
      <c r="B51" s="883">
        <f t="shared" si="1"/>
        <v>28</v>
      </c>
      <c r="C51" s="908">
        <f t="shared" si="2"/>
        <v>0</v>
      </c>
      <c r="D51" s="908">
        <f t="shared" si="2"/>
        <v>0</v>
      </c>
      <c r="E51" s="978">
        <f t="shared" si="2"/>
        <v>0</v>
      </c>
    </row>
    <row r="52" spans="1:5" hidden="1" x14ac:dyDescent="0.25">
      <c r="A52" s="890"/>
      <c r="B52" s="883">
        <f t="shared" si="1"/>
        <v>29</v>
      </c>
      <c r="C52" s="908">
        <f t="shared" si="2"/>
        <v>0</v>
      </c>
      <c r="D52" s="908">
        <f t="shared" si="2"/>
        <v>0</v>
      </c>
      <c r="E52" s="978">
        <f t="shared" si="2"/>
        <v>0</v>
      </c>
    </row>
    <row r="53" spans="1:5" hidden="1" x14ac:dyDescent="0.25">
      <c r="A53" s="890"/>
      <c r="B53" s="883">
        <f t="shared" si="1"/>
        <v>30</v>
      </c>
      <c r="C53" s="908">
        <f t="shared" si="2"/>
        <v>0</v>
      </c>
      <c r="D53" s="908">
        <f t="shared" si="2"/>
        <v>0</v>
      </c>
      <c r="E53" s="978">
        <f t="shared" si="2"/>
        <v>0</v>
      </c>
    </row>
    <row r="54" spans="1:5" hidden="1" x14ac:dyDescent="0.25">
      <c r="A54" s="890"/>
      <c r="B54" s="883">
        <f t="shared" si="1"/>
        <v>31</v>
      </c>
      <c r="C54" s="908">
        <f t="shared" si="2"/>
        <v>0</v>
      </c>
      <c r="D54" s="908">
        <f t="shared" si="2"/>
        <v>0</v>
      </c>
      <c r="E54" s="978">
        <f t="shared" si="2"/>
        <v>0</v>
      </c>
    </row>
    <row r="55" spans="1:5" hidden="1" x14ac:dyDescent="0.25">
      <c r="A55" s="890"/>
      <c r="B55" s="883">
        <f t="shared" si="1"/>
        <v>32</v>
      </c>
      <c r="C55" s="908">
        <f t="shared" si="2"/>
        <v>0</v>
      </c>
      <c r="D55" s="908">
        <f t="shared" si="2"/>
        <v>0</v>
      </c>
      <c r="E55" s="978">
        <f t="shared" si="2"/>
        <v>0</v>
      </c>
    </row>
    <row r="56" spans="1:5" hidden="1" x14ac:dyDescent="0.25">
      <c r="A56" s="890"/>
      <c r="B56" s="883">
        <f t="shared" si="1"/>
        <v>33</v>
      </c>
      <c r="C56" s="908">
        <f t="shared" si="2"/>
        <v>0</v>
      </c>
      <c r="D56" s="908">
        <f t="shared" si="2"/>
        <v>0</v>
      </c>
      <c r="E56" s="978">
        <f t="shared" si="2"/>
        <v>0</v>
      </c>
    </row>
    <row r="57" spans="1:5" hidden="1" x14ac:dyDescent="0.25">
      <c r="A57" s="890"/>
      <c r="B57" s="883">
        <f t="shared" si="1"/>
        <v>34</v>
      </c>
      <c r="C57" s="908">
        <f t="shared" si="2"/>
        <v>0</v>
      </c>
      <c r="D57" s="908">
        <f t="shared" si="2"/>
        <v>0</v>
      </c>
      <c r="E57" s="978">
        <f t="shared" si="2"/>
        <v>0</v>
      </c>
    </row>
    <row r="58" spans="1:5" hidden="1" x14ac:dyDescent="0.25">
      <c r="A58" s="890"/>
      <c r="B58" s="883">
        <f t="shared" si="1"/>
        <v>35</v>
      </c>
      <c r="C58" s="908">
        <f t="shared" si="2"/>
        <v>0</v>
      </c>
      <c r="D58" s="908">
        <f t="shared" si="2"/>
        <v>0</v>
      </c>
      <c r="E58" s="978">
        <f t="shared" si="2"/>
        <v>0</v>
      </c>
    </row>
    <row r="59" spans="1:5" hidden="1" x14ac:dyDescent="0.25">
      <c r="A59" s="890"/>
      <c r="B59" s="883">
        <f t="shared" si="1"/>
        <v>36</v>
      </c>
      <c r="C59" s="908">
        <f t="shared" si="2"/>
        <v>0</v>
      </c>
      <c r="D59" s="908">
        <f t="shared" si="2"/>
        <v>0</v>
      </c>
      <c r="E59" s="978">
        <f t="shared" si="2"/>
        <v>0</v>
      </c>
    </row>
    <row r="60" spans="1:5" hidden="1" x14ac:dyDescent="0.25">
      <c r="A60" s="890"/>
      <c r="B60" s="883">
        <f t="shared" si="1"/>
        <v>37</v>
      </c>
      <c r="C60" s="908">
        <f t="shared" si="2"/>
        <v>0</v>
      </c>
      <c r="D60" s="908">
        <f t="shared" si="2"/>
        <v>0</v>
      </c>
      <c r="E60" s="978">
        <f t="shared" si="2"/>
        <v>0</v>
      </c>
    </row>
    <row r="61" spans="1:5" hidden="1" x14ac:dyDescent="0.25">
      <c r="A61" s="890"/>
      <c r="B61" s="883">
        <f t="shared" si="1"/>
        <v>38</v>
      </c>
      <c r="C61" s="908">
        <f t="shared" si="2"/>
        <v>0</v>
      </c>
      <c r="D61" s="908">
        <f t="shared" si="2"/>
        <v>0</v>
      </c>
      <c r="E61" s="978">
        <f t="shared" si="2"/>
        <v>0</v>
      </c>
    </row>
    <row r="62" spans="1:5" hidden="1" x14ac:dyDescent="0.25">
      <c r="A62" s="890"/>
      <c r="B62" s="883">
        <f t="shared" si="1"/>
        <v>39</v>
      </c>
      <c r="C62" s="908">
        <f t="shared" si="2"/>
        <v>0</v>
      </c>
      <c r="D62" s="908">
        <f t="shared" si="2"/>
        <v>0</v>
      </c>
      <c r="E62" s="978">
        <f t="shared" si="2"/>
        <v>0</v>
      </c>
    </row>
    <row r="63" spans="1:5" hidden="1" x14ac:dyDescent="0.25">
      <c r="A63" s="890"/>
      <c r="B63" s="883">
        <f t="shared" si="1"/>
        <v>40</v>
      </c>
      <c r="C63" s="908">
        <f t="shared" si="2"/>
        <v>0</v>
      </c>
      <c r="D63" s="908">
        <f t="shared" si="2"/>
        <v>0</v>
      </c>
      <c r="E63" s="978">
        <f t="shared" si="2"/>
        <v>0</v>
      </c>
    </row>
    <row r="64" spans="1:5" hidden="1" x14ac:dyDescent="0.25">
      <c r="A64" s="890"/>
      <c r="B64" s="883">
        <f t="shared" si="1"/>
        <v>41</v>
      </c>
      <c r="C64" s="908">
        <f t="shared" si="2"/>
        <v>0</v>
      </c>
      <c r="D64" s="908">
        <f t="shared" si="2"/>
        <v>0</v>
      </c>
      <c r="E64" s="978">
        <f t="shared" si="2"/>
        <v>0</v>
      </c>
    </row>
    <row r="65" spans="1:5" hidden="1" x14ac:dyDescent="0.25">
      <c r="A65" s="890"/>
      <c r="B65" s="883">
        <f t="shared" si="1"/>
        <v>42</v>
      </c>
      <c r="C65" s="908">
        <f t="shared" ref="C65:E84" si="3">IF($B65&gt;$C$11*12,"",C$19)</f>
        <v>0</v>
      </c>
      <c r="D65" s="908">
        <f t="shared" si="3"/>
        <v>0</v>
      </c>
      <c r="E65" s="978">
        <f t="shared" si="3"/>
        <v>0</v>
      </c>
    </row>
    <row r="66" spans="1:5" hidden="1" x14ac:dyDescent="0.25">
      <c r="A66" s="890"/>
      <c r="B66" s="883">
        <f t="shared" si="1"/>
        <v>43</v>
      </c>
      <c r="C66" s="908">
        <f t="shared" si="3"/>
        <v>0</v>
      </c>
      <c r="D66" s="908">
        <f t="shared" si="3"/>
        <v>0</v>
      </c>
      <c r="E66" s="978">
        <f t="shared" si="3"/>
        <v>0</v>
      </c>
    </row>
    <row r="67" spans="1:5" hidden="1" x14ac:dyDescent="0.25">
      <c r="A67" s="890"/>
      <c r="B67" s="883">
        <f t="shared" si="1"/>
        <v>44</v>
      </c>
      <c r="C67" s="908">
        <f t="shared" si="3"/>
        <v>0</v>
      </c>
      <c r="D67" s="908">
        <f t="shared" si="3"/>
        <v>0</v>
      </c>
      <c r="E67" s="978">
        <f t="shared" si="3"/>
        <v>0</v>
      </c>
    </row>
    <row r="68" spans="1:5" hidden="1" x14ac:dyDescent="0.25">
      <c r="A68" s="890"/>
      <c r="B68" s="883">
        <f t="shared" si="1"/>
        <v>45</v>
      </c>
      <c r="C68" s="908">
        <f t="shared" si="3"/>
        <v>0</v>
      </c>
      <c r="D68" s="908">
        <f t="shared" si="3"/>
        <v>0</v>
      </c>
      <c r="E68" s="978">
        <f t="shared" si="3"/>
        <v>0</v>
      </c>
    </row>
    <row r="69" spans="1:5" hidden="1" x14ac:dyDescent="0.25">
      <c r="A69" s="890"/>
      <c r="B69" s="883">
        <f t="shared" si="1"/>
        <v>46</v>
      </c>
      <c r="C69" s="908">
        <f t="shared" si="3"/>
        <v>0</v>
      </c>
      <c r="D69" s="908">
        <f t="shared" si="3"/>
        <v>0</v>
      </c>
      <c r="E69" s="978">
        <f t="shared" si="3"/>
        <v>0</v>
      </c>
    </row>
    <row r="70" spans="1:5" hidden="1" x14ac:dyDescent="0.25">
      <c r="A70" s="890"/>
      <c r="B70" s="883">
        <f t="shared" si="1"/>
        <v>47</v>
      </c>
      <c r="C70" s="908">
        <f t="shared" si="3"/>
        <v>0</v>
      </c>
      <c r="D70" s="908">
        <f t="shared" si="3"/>
        <v>0</v>
      </c>
      <c r="E70" s="978">
        <f t="shared" si="3"/>
        <v>0</v>
      </c>
    </row>
    <row r="71" spans="1:5" hidden="1" x14ac:dyDescent="0.25">
      <c r="A71" s="890"/>
      <c r="B71" s="883">
        <f t="shared" si="1"/>
        <v>48</v>
      </c>
      <c r="C71" s="908">
        <f t="shared" si="3"/>
        <v>0</v>
      </c>
      <c r="D71" s="908">
        <f t="shared" si="3"/>
        <v>0</v>
      </c>
      <c r="E71" s="978">
        <f t="shared" si="3"/>
        <v>0</v>
      </c>
    </row>
    <row r="72" spans="1:5" hidden="1" x14ac:dyDescent="0.25">
      <c r="A72" s="890"/>
      <c r="B72" s="883">
        <f t="shared" si="1"/>
        <v>49</v>
      </c>
      <c r="C72" s="908">
        <f t="shared" si="3"/>
        <v>0</v>
      </c>
      <c r="D72" s="908">
        <f t="shared" si="3"/>
        <v>0</v>
      </c>
      <c r="E72" s="978">
        <f t="shared" si="3"/>
        <v>0</v>
      </c>
    </row>
    <row r="73" spans="1:5" hidden="1" x14ac:dyDescent="0.25">
      <c r="A73" s="890"/>
      <c r="B73" s="883">
        <f t="shared" si="1"/>
        <v>50</v>
      </c>
      <c r="C73" s="908">
        <f t="shared" si="3"/>
        <v>0</v>
      </c>
      <c r="D73" s="908">
        <f t="shared" si="3"/>
        <v>0</v>
      </c>
      <c r="E73" s="978">
        <f t="shared" si="3"/>
        <v>0</v>
      </c>
    </row>
    <row r="74" spans="1:5" hidden="1" x14ac:dyDescent="0.25">
      <c r="A74" s="890"/>
      <c r="B74" s="883">
        <f t="shared" si="1"/>
        <v>51</v>
      </c>
      <c r="C74" s="908">
        <f t="shared" si="3"/>
        <v>0</v>
      </c>
      <c r="D74" s="908">
        <f t="shared" si="3"/>
        <v>0</v>
      </c>
      <c r="E74" s="978">
        <f t="shared" si="3"/>
        <v>0</v>
      </c>
    </row>
    <row r="75" spans="1:5" hidden="1" x14ac:dyDescent="0.25">
      <c r="A75" s="890"/>
      <c r="B75" s="883">
        <f t="shared" si="1"/>
        <v>52</v>
      </c>
      <c r="C75" s="908">
        <f t="shared" si="3"/>
        <v>0</v>
      </c>
      <c r="D75" s="908">
        <f t="shared" si="3"/>
        <v>0</v>
      </c>
      <c r="E75" s="978">
        <f t="shared" si="3"/>
        <v>0</v>
      </c>
    </row>
    <row r="76" spans="1:5" hidden="1" x14ac:dyDescent="0.25">
      <c r="A76" s="890"/>
      <c r="B76" s="883">
        <f t="shared" si="1"/>
        <v>53</v>
      </c>
      <c r="C76" s="908">
        <f t="shared" si="3"/>
        <v>0</v>
      </c>
      <c r="D76" s="908">
        <f t="shared" si="3"/>
        <v>0</v>
      </c>
      <c r="E76" s="978">
        <f t="shared" si="3"/>
        <v>0</v>
      </c>
    </row>
    <row r="77" spans="1:5" hidden="1" x14ac:dyDescent="0.25">
      <c r="A77" s="890"/>
      <c r="B77" s="883">
        <f t="shared" si="1"/>
        <v>54</v>
      </c>
      <c r="C77" s="908">
        <f t="shared" si="3"/>
        <v>0</v>
      </c>
      <c r="D77" s="908">
        <f t="shared" si="3"/>
        <v>0</v>
      </c>
      <c r="E77" s="978">
        <f t="shared" si="3"/>
        <v>0</v>
      </c>
    </row>
    <row r="78" spans="1:5" hidden="1" x14ac:dyDescent="0.25">
      <c r="A78" s="890"/>
      <c r="B78" s="883">
        <f t="shared" si="1"/>
        <v>55</v>
      </c>
      <c r="C78" s="908">
        <f t="shared" si="3"/>
        <v>0</v>
      </c>
      <c r="D78" s="908">
        <f t="shared" si="3"/>
        <v>0</v>
      </c>
      <c r="E78" s="978">
        <f t="shared" si="3"/>
        <v>0</v>
      </c>
    </row>
    <row r="79" spans="1:5" hidden="1" x14ac:dyDescent="0.25">
      <c r="A79" s="890"/>
      <c r="B79" s="883">
        <f t="shared" si="1"/>
        <v>56</v>
      </c>
      <c r="C79" s="908">
        <f t="shared" si="3"/>
        <v>0</v>
      </c>
      <c r="D79" s="908">
        <f t="shared" si="3"/>
        <v>0</v>
      </c>
      <c r="E79" s="978">
        <f t="shared" si="3"/>
        <v>0</v>
      </c>
    </row>
    <row r="80" spans="1:5" hidden="1" x14ac:dyDescent="0.25">
      <c r="A80" s="890"/>
      <c r="B80" s="883">
        <f t="shared" si="1"/>
        <v>57</v>
      </c>
      <c r="C80" s="908">
        <f t="shared" si="3"/>
        <v>0</v>
      </c>
      <c r="D80" s="908">
        <f t="shared" si="3"/>
        <v>0</v>
      </c>
      <c r="E80" s="978">
        <f t="shared" si="3"/>
        <v>0</v>
      </c>
    </row>
    <row r="81" spans="1:5" hidden="1" x14ac:dyDescent="0.25">
      <c r="A81" s="890"/>
      <c r="B81" s="883">
        <f t="shared" si="1"/>
        <v>58</v>
      </c>
      <c r="C81" s="908">
        <f t="shared" si="3"/>
        <v>0</v>
      </c>
      <c r="D81" s="908">
        <f t="shared" si="3"/>
        <v>0</v>
      </c>
      <c r="E81" s="978">
        <f t="shared" si="3"/>
        <v>0</v>
      </c>
    </row>
    <row r="82" spans="1:5" hidden="1" x14ac:dyDescent="0.25">
      <c r="A82" s="890"/>
      <c r="B82" s="883">
        <f t="shared" si="1"/>
        <v>59</v>
      </c>
      <c r="C82" s="908">
        <f t="shared" si="3"/>
        <v>0</v>
      </c>
      <c r="D82" s="908">
        <f t="shared" si="3"/>
        <v>0</v>
      </c>
      <c r="E82" s="978">
        <f t="shared" si="3"/>
        <v>0</v>
      </c>
    </row>
    <row r="83" spans="1:5" hidden="1" x14ac:dyDescent="0.25">
      <c r="A83" s="890"/>
      <c r="B83" s="883">
        <f t="shared" si="1"/>
        <v>60</v>
      </c>
      <c r="C83" s="908">
        <f t="shared" si="3"/>
        <v>0</v>
      </c>
      <c r="D83" s="908">
        <f t="shared" si="3"/>
        <v>0</v>
      </c>
      <c r="E83" s="978">
        <f t="shared" si="3"/>
        <v>0</v>
      </c>
    </row>
    <row r="84" spans="1:5" hidden="1" x14ac:dyDescent="0.25">
      <c r="A84" s="890"/>
      <c r="B84" s="883">
        <f t="shared" si="1"/>
        <v>61</v>
      </c>
      <c r="C84" s="908">
        <f t="shared" si="3"/>
        <v>0</v>
      </c>
      <c r="D84" s="908">
        <f t="shared" si="3"/>
        <v>0</v>
      </c>
      <c r="E84" s="978">
        <f t="shared" si="3"/>
        <v>0</v>
      </c>
    </row>
    <row r="85" spans="1:5" hidden="1" x14ac:dyDescent="0.25">
      <c r="A85" s="890"/>
      <c r="B85" s="883">
        <f t="shared" si="1"/>
        <v>62</v>
      </c>
      <c r="C85" s="908">
        <f t="shared" ref="C85:E104" si="4">IF($B85&gt;$C$11*12,"",C$19)</f>
        <v>0</v>
      </c>
      <c r="D85" s="908">
        <f t="shared" si="4"/>
        <v>0</v>
      </c>
      <c r="E85" s="978">
        <f t="shared" si="4"/>
        <v>0</v>
      </c>
    </row>
    <row r="86" spans="1:5" hidden="1" x14ac:dyDescent="0.25">
      <c r="A86" s="890"/>
      <c r="B86" s="883">
        <f t="shared" si="1"/>
        <v>63</v>
      </c>
      <c r="C86" s="908">
        <f t="shared" si="4"/>
        <v>0</v>
      </c>
      <c r="D86" s="908">
        <f t="shared" si="4"/>
        <v>0</v>
      </c>
      <c r="E86" s="978">
        <f t="shared" si="4"/>
        <v>0</v>
      </c>
    </row>
    <row r="87" spans="1:5" hidden="1" x14ac:dyDescent="0.25">
      <c r="A87" s="890"/>
      <c r="B87" s="883">
        <f t="shared" si="1"/>
        <v>64</v>
      </c>
      <c r="C87" s="908">
        <f t="shared" si="4"/>
        <v>0</v>
      </c>
      <c r="D87" s="908">
        <f t="shared" si="4"/>
        <v>0</v>
      </c>
      <c r="E87" s="978">
        <f t="shared" si="4"/>
        <v>0</v>
      </c>
    </row>
    <row r="88" spans="1:5" hidden="1" x14ac:dyDescent="0.25">
      <c r="A88" s="890"/>
      <c r="B88" s="883">
        <f t="shared" si="1"/>
        <v>65</v>
      </c>
      <c r="C88" s="908">
        <f t="shared" si="4"/>
        <v>0</v>
      </c>
      <c r="D88" s="908">
        <f t="shared" si="4"/>
        <v>0</v>
      </c>
      <c r="E88" s="978">
        <f t="shared" si="4"/>
        <v>0</v>
      </c>
    </row>
    <row r="89" spans="1:5" hidden="1" x14ac:dyDescent="0.25">
      <c r="A89" s="890"/>
      <c r="B89" s="883">
        <f t="shared" si="1"/>
        <v>66</v>
      </c>
      <c r="C89" s="908">
        <f t="shared" si="4"/>
        <v>0</v>
      </c>
      <c r="D89" s="908">
        <f t="shared" si="4"/>
        <v>0</v>
      </c>
      <c r="E89" s="978">
        <f t="shared" si="4"/>
        <v>0</v>
      </c>
    </row>
    <row r="90" spans="1:5" hidden="1" x14ac:dyDescent="0.25">
      <c r="A90" s="890"/>
      <c r="B90" s="883">
        <f t="shared" ref="B90:B153" si="5">B89+1</f>
        <v>67</v>
      </c>
      <c r="C90" s="908">
        <f t="shared" si="4"/>
        <v>0</v>
      </c>
      <c r="D90" s="908">
        <f t="shared" si="4"/>
        <v>0</v>
      </c>
      <c r="E90" s="978">
        <f t="shared" si="4"/>
        <v>0</v>
      </c>
    </row>
    <row r="91" spans="1:5" hidden="1" x14ac:dyDescent="0.25">
      <c r="A91" s="890"/>
      <c r="B91" s="883">
        <f t="shared" si="5"/>
        <v>68</v>
      </c>
      <c r="C91" s="908">
        <f t="shared" si="4"/>
        <v>0</v>
      </c>
      <c r="D91" s="908">
        <f t="shared" si="4"/>
        <v>0</v>
      </c>
      <c r="E91" s="978">
        <f t="shared" si="4"/>
        <v>0</v>
      </c>
    </row>
    <row r="92" spans="1:5" hidden="1" x14ac:dyDescent="0.25">
      <c r="A92" s="890"/>
      <c r="B92" s="883">
        <f t="shared" si="5"/>
        <v>69</v>
      </c>
      <c r="C92" s="908">
        <f t="shared" si="4"/>
        <v>0</v>
      </c>
      <c r="D92" s="908">
        <f t="shared" si="4"/>
        <v>0</v>
      </c>
      <c r="E92" s="978">
        <f t="shared" si="4"/>
        <v>0</v>
      </c>
    </row>
    <row r="93" spans="1:5" hidden="1" x14ac:dyDescent="0.25">
      <c r="A93" s="890"/>
      <c r="B93" s="883">
        <f t="shared" si="5"/>
        <v>70</v>
      </c>
      <c r="C93" s="908">
        <f t="shared" si="4"/>
        <v>0</v>
      </c>
      <c r="D93" s="908">
        <f t="shared" si="4"/>
        <v>0</v>
      </c>
      <c r="E93" s="978">
        <f t="shared" si="4"/>
        <v>0</v>
      </c>
    </row>
    <row r="94" spans="1:5" hidden="1" x14ac:dyDescent="0.25">
      <c r="A94" s="890"/>
      <c r="B94" s="883">
        <f t="shared" si="5"/>
        <v>71</v>
      </c>
      <c r="C94" s="908">
        <f t="shared" si="4"/>
        <v>0</v>
      </c>
      <c r="D94" s="908">
        <f t="shared" si="4"/>
        <v>0</v>
      </c>
      <c r="E94" s="978">
        <f t="shared" si="4"/>
        <v>0</v>
      </c>
    </row>
    <row r="95" spans="1:5" hidden="1" x14ac:dyDescent="0.25">
      <c r="A95" s="890"/>
      <c r="B95" s="883">
        <f t="shared" si="5"/>
        <v>72</v>
      </c>
      <c r="C95" s="908">
        <f t="shared" si="4"/>
        <v>0</v>
      </c>
      <c r="D95" s="908">
        <f t="shared" si="4"/>
        <v>0</v>
      </c>
      <c r="E95" s="978">
        <f t="shared" si="4"/>
        <v>0</v>
      </c>
    </row>
    <row r="96" spans="1:5" hidden="1" x14ac:dyDescent="0.25">
      <c r="A96" s="890"/>
      <c r="B96" s="883">
        <f t="shared" si="5"/>
        <v>73</v>
      </c>
      <c r="C96" s="908">
        <f t="shared" si="4"/>
        <v>0</v>
      </c>
      <c r="D96" s="908">
        <f t="shared" si="4"/>
        <v>0</v>
      </c>
      <c r="E96" s="978">
        <f t="shared" si="4"/>
        <v>0</v>
      </c>
    </row>
    <row r="97" spans="1:5" hidden="1" x14ac:dyDescent="0.25">
      <c r="A97" s="890"/>
      <c r="B97" s="883">
        <f t="shared" si="5"/>
        <v>74</v>
      </c>
      <c r="C97" s="908">
        <f t="shared" si="4"/>
        <v>0</v>
      </c>
      <c r="D97" s="908">
        <f t="shared" si="4"/>
        <v>0</v>
      </c>
      <c r="E97" s="978">
        <f t="shared" si="4"/>
        <v>0</v>
      </c>
    </row>
    <row r="98" spans="1:5" hidden="1" x14ac:dyDescent="0.25">
      <c r="A98" s="890"/>
      <c r="B98" s="883">
        <f t="shared" si="5"/>
        <v>75</v>
      </c>
      <c r="C98" s="908">
        <f t="shared" si="4"/>
        <v>0</v>
      </c>
      <c r="D98" s="908">
        <f t="shared" si="4"/>
        <v>0</v>
      </c>
      <c r="E98" s="978">
        <f t="shared" si="4"/>
        <v>0</v>
      </c>
    </row>
    <row r="99" spans="1:5" hidden="1" x14ac:dyDescent="0.25">
      <c r="A99" s="890"/>
      <c r="B99" s="883">
        <f t="shared" si="5"/>
        <v>76</v>
      </c>
      <c r="C99" s="908">
        <f t="shared" si="4"/>
        <v>0</v>
      </c>
      <c r="D99" s="908">
        <f t="shared" si="4"/>
        <v>0</v>
      </c>
      <c r="E99" s="978">
        <f t="shared" si="4"/>
        <v>0</v>
      </c>
    </row>
    <row r="100" spans="1:5" hidden="1" x14ac:dyDescent="0.25">
      <c r="A100" s="890"/>
      <c r="B100" s="883">
        <f t="shared" si="5"/>
        <v>77</v>
      </c>
      <c r="C100" s="908">
        <f t="shared" si="4"/>
        <v>0</v>
      </c>
      <c r="D100" s="908">
        <f t="shared" si="4"/>
        <v>0</v>
      </c>
      <c r="E100" s="978">
        <f t="shared" si="4"/>
        <v>0</v>
      </c>
    </row>
    <row r="101" spans="1:5" hidden="1" x14ac:dyDescent="0.25">
      <c r="A101" s="890"/>
      <c r="B101" s="883">
        <f t="shared" si="5"/>
        <v>78</v>
      </c>
      <c r="C101" s="908">
        <f t="shared" si="4"/>
        <v>0</v>
      </c>
      <c r="D101" s="908">
        <f t="shared" si="4"/>
        <v>0</v>
      </c>
      <c r="E101" s="978">
        <f t="shared" si="4"/>
        <v>0</v>
      </c>
    </row>
    <row r="102" spans="1:5" hidden="1" x14ac:dyDescent="0.25">
      <c r="A102" s="890"/>
      <c r="B102" s="883">
        <f t="shared" si="5"/>
        <v>79</v>
      </c>
      <c r="C102" s="908">
        <f t="shared" si="4"/>
        <v>0</v>
      </c>
      <c r="D102" s="908">
        <f t="shared" si="4"/>
        <v>0</v>
      </c>
      <c r="E102" s="978">
        <f t="shared" si="4"/>
        <v>0</v>
      </c>
    </row>
    <row r="103" spans="1:5" hidden="1" x14ac:dyDescent="0.25">
      <c r="A103" s="890"/>
      <c r="B103" s="883">
        <f t="shared" si="5"/>
        <v>80</v>
      </c>
      <c r="C103" s="908">
        <f t="shared" si="4"/>
        <v>0</v>
      </c>
      <c r="D103" s="908">
        <f t="shared" si="4"/>
        <v>0</v>
      </c>
      <c r="E103" s="978">
        <f t="shared" si="4"/>
        <v>0</v>
      </c>
    </row>
    <row r="104" spans="1:5" hidden="1" x14ac:dyDescent="0.25">
      <c r="A104" s="890"/>
      <c r="B104" s="883">
        <f t="shared" si="5"/>
        <v>81</v>
      </c>
      <c r="C104" s="908">
        <f t="shared" si="4"/>
        <v>0</v>
      </c>
      <c r="D104" s="908">
        <f t="shared" si="4"/>
        <v>0</v>
      </c>
      <c r="E104" s="978">
        <f t="shared" si="4"/>
        <v>0</v>
      </c>
    </row>
    <row r="105" spans="1:5" hidden="1" x14ac:dyDescent="0.25">
      <c r="A105" s="890"/>
      <c r="B105" s="883">
        <f t="shared" si="5"/>
        <v>82</v>
      </c>
      <c r="C105" s="908">
        <f t="shared" ref="C105:E124" si="6">IF($B105&gt;$C$11*12,"",C$19)</f>
        <v>0</v>
      </c>
      <c r="D105" s="908">
        <f t="shared" si="6"/>
        <v>0</v>
      </c>
      <c r="E105" s="978">
        <f t="shared" si="6"/>
        <v>0</v>
      </c>
    </row>
    <row r="106" spans="1:5" hidden="1" x14ac:dyDescent="0.25">
      <c r="A106" s="890"/>
      <c r="B106" s="883">
        <f t="shared" si="5"/>
        <v>83</v>
      </c>
      <c r="C106" s="908">
        <f t="shared" si="6"/>
        <v>0</v>
      </c>
      <c r="D106" s="908">
        <f t="shared" si="6"/>
        <v>0</v>
      </c>
      <c r="E106" s="978">
        <f t="shared" si="6"/>
        <v>0</v>
      </c>
    </row>
    <row r="107" spans="1:5" hidden="1" x14ac:dyDescent="0.25">
      <c r="A107" s="890"/>
      <c r="B107" s="883">
        <f t="shared" si="5"/>
        <v>84</v>
      </c>
      <c r="C107" s="908">
        <f t="shared" si="6"/>
        <v>0</v>
      </c>
      <c r="D107" s="908">
        <f t="shared" si="6"/>
        <v>0</v>
      </c>
      <c r="E107" s="978">
        <f t="shared" si="6"/>
        <v>0</v>
      </c>
    </row>
    <row r="108" spans="1:5" hidden="1" x14ac:dyDescent="0.25">
      <c r="A108" s="890"/>
      <c r="B108" s="883">
        <f t="shared" si="5"/>
        <v>85</v>
      </c>
      <c r="C108" s="908">
        <f t="shared" si="6"/>
        <v>0</v>
      </c>
      <c r="D108" s="908">
        <f t="shared" si="6"/>
        <v>0</v>
      </c>
      <c r="E108" s="978">
        <f t="shared" si="6"/>
        <v>0</v>
      </c>
    </row>
    <row r="109" spans="1:5" hidden="1" x14ac:dyDescent="0.25">
      <c r="A109" s="890"/>
      <c r="B109" s="883">
        <f t="shared" si="5"/>
        <v>86</v>
      </c>
      <c r="C109" s="908">
        <f t="shared" si="6"/>
        <v>0</v>
      </c>
      <c r="D109" s="908">
        <f t="shared" si="6"/>
        <v>0</v>
      </c>
      <c r="E109" s="978">
        <f t="shared" si="6"/>
        <v>0</v>
      </c>
    </row>
    <row r="110" spans="1:5" hidden="1" x14ac:dyDescent="0.25">
      <c r="A110" s="890"/>
      <c r="B110" s="883">
        <f t="shared" si="5"/>
        <v>87</v>
      </c>
      <c r="C110" s="908">
        <f t="shared" si="6"/>
        <v>0</v>
      </c>
      <c r="D110" s="908">
        <f t="shared" si="6"/>
        <v>0</v>
      </c>
      <c r="E110" s="978">
        <f t="shared" si="6"/>
        <v>0</v>
      </c>
    </row>
    <row r="111" spans="1:5" hidden="1" x14ac:dyDescent="0.25">
      <c r="A111" s="890"/>
      <c r="B111" s="883">
        <f t="shared" si="5"/>
        <v>88</v>
      </c>
      <c r="C111" s="908">
        <f t="shared" si="6"/>
        <v>0</v>
      </c>
      <c r="D111" s="908">
        <f t="shared" si="6"/>
        <v>0</v>
      </c>
      <c r="E111" s="978">
        <f t="shared" si="6"/>
        <v>0</v>
      </c>
    </row>
    <row r="112" spans="1:5" hidden="1" x14ac:dyDescent="0.25">
      <c r="A112" s="890"/>
      <c r="B112" s="883">
        <f t="shared" si="5"/>
        <v>89</v>
      </c>
      <c r="C112" s="908">
        <f t="shared" si="6"/>
        <v>0</v>
      </c>
      <c r="D112" s="908">
        <f t="shared" si="6"/>
        <v>0</v>
      </c>
      <c r="E112" s="978">
        <f t="shared" si="6"/>
        <v>0</v>
      </c>
    </row>
    <row r="113" spans="1:5" hidden="1" x14ac:dyDescent="0.25">
      <c r="A113" s="890"/>
      <c r="B113" s="883">
        <f t="shared" si="5"/>
        <v>90</v>
      </c>
      <c r="C113" s="908">
        <f t="shared" si="6"/>
        <v>0</v>
      </c>
      <c r="D113" s="908">
        <f t="shared" si="6"/>
        <v>0</v>
      </c>
      <c r="E113" s="978">
        <f t="shared" si="6"/>
        <v>0</v>
      </c>
    </row>
    <row r="114" spans="1:5" hidden="1" x14ac:dyDescent="0.25">
      <c r="A114" s="890"/>
      <c r="B114" s="883">
        <f t="shared" si="5"/>
        <v>91</v>
      </c>
      <c r="C114" s="908">
        <f t="shared" si="6"/>
        <v>0</v>
      </c>
      <c r="D114" s="908">
        <f t="shared" si="6"/>
        <v>0</v>
      </c>
      <c r="E114" s="978">
        <f t="shared" si="6"/>
        <v>0</v>
      </c>
    </row>
    <row r="115" spans="1:5" hidden="1" x14ac:dyDescent="0.25">
      <c r="A115" s="890"/>
      <c r="B115" s="883">
        <f t="shared" si="5"/>
        <v>92</v>
      </c>
      <c r="C115" s="908">
        <f t="shared" si="6"/>
        <v>0</v>
      </c>
      <c r="D115" s="908">
        <f t="shared" si="6"/>
        <v>0</v>
      </c>
      <c r="E115" s="978">
        <f t="shared" si="6"/>
        <v>0</v>
      </c>
    </row>
    <row r="116" spans="1:5" hidden="1" x14ac:dyDescent="0.25">
      <c r="A116" s="890"/>
      <c r="B116" s="883">
        <f t="shared" si="5"/>
        <v>93</v>
      </c>
      <c r="C116" s="908">
        <f t="shared" si="6"/>
        <v>0</v>
      </c>
      <c r="D116" s="908">
        <f t="shared" si="6"/>
        <v>0</v>
      </c>
      <c r="E116" s="978">
        <f t="shared" si="6"/>
        <v>0</v>
      </c>
    </row>
    <row r="117" spans="1:5" hidden="1" x14ac:dyDescent="0.25">
      <c r="A117" s="890"/>
      <c r="B117" s="883">
        <f t="shared" si="5"/>
        <v>94</v>
      </c>
      <c r="C117" s="908">
        <f t="shared" si="6"/>
        <v>0</v>
      </c>
      <c r="D117" s="908">
        <f t="shared" si="6"/>
        <v>0</v>
      </c>
      <c r="E117" s="978">
        <f t="shared" si="6"/>
        <v>0</v>
      </c>
    </row>
    <row r="118" spans="1:5" hidden="1" x14ac:dyDescent="0.25">
      <c r="A118" s="890"/>
      <c r="B118" s="883">
        <f t="shared" si="5"/>
        <v>95</v>
      </c>
      <c r="C118" s="908">
        <f t="shared" si="6"/>
        <v>0</v>
      </c>
      <c r="D118" s="908">
        <f t="shared" si="6"/>
        <v>0</v>
      </c>
      <c r="E118" s="978">
        <f t="shared" si="6"/>
        <v>0</v>
      </c>
    </row>
    <row r="119" spans="1:5" hidden="1" x14ac:dyDescent="0.25">
      <c r="A119" s="890"/>
      <c r="B119" s="883">
        <f t="shared" si="5"/>
        <v>96</v>
      </c>
      <c r="C119" s="908">
        <f t="shared" si="6"/>
        <v>0</v>
      </c>
      <c r="D119" s="908">
        <f t="shared" si="6"/>
        <v>0</v>
      </c>
      <c r="E119" s="978">
        <f t="shared" si="6"/>
        <v>0</v>
      </c>
    </row>
    <row r="120" spans="1:5" hidden="1" x14ac:dyDescent="0.25">
      <c r="A120" s="890"/>
      <c r="B120" s="883">
        <f t="shared" si="5"/>
        <v>97</v>
      </c>
      <c r="C120" s="908">
        <f t="shared" si="6"/>
        <v>0</v>
      </c>
      <c r="D120" s="908">
        <f t="shared" si="6"/>
        <v>0</v>
      </c>
      <c r="E120" s="978">
        <f t="shared" si="6"/>
        <v>0</v>
      </c>
    </row>
    <row r="121" spans="1:5" hidden="1" x14ac:dyDescent="0.25">
      <c r="A121" s="890"/>
      <c r="B121" s="883">
        <f t="shared" si="5"/>
        <v>98</v>
      </c>
      <c r="C121" s="908">
        <f t="shared" si="6"/>
        <v>0</v>
      </c>
      <c r="D121" s="908">
        <f t="shared" si="6"/>
        <v>0</v>
      </c>
      <c r="E121" s="978">
        <f t="shared" si="6"/>
        <v>0</v>
      </c>
    </row>
    <row r="122" spans="1:5" hidden="1" x14ac:dyDescent="0.25">
      <c r="A122" s="890"/>
      <c r="B122" s="883">
        <f t="shared" si="5"/>
        <v>99</v>
      </c>
      <c r="C122" s="908">
        <f t="shared" si="6"/>
        <v>0</v>
      </c>
      <c r="D122" s="908">
        <f t="shared" si="6"/>
        <v>0</v>
      </c>
      <c r="E122" s="978">
        <f t="shared" si="6"/>
        <v>0</v>
      </c>
    </row>
    <row r="123" spans="1:5" hidden="1" x14ac:dyDescent="0.25">
      <c r="A123" s="890"/>
      <c r="B123" s="883">
        <f t="shared" si="5"/>
        <v>100</v>
      </c>
      <c r="C123" s="908">
        <f t="shared" si="6"/>
        <v>0</v>
      </c>
      <c r="D123" s="908">
        <f t="shared" si="6"/>
        <v>0</v>
      </c>
      <c r="E123" s="978">
        <f t="shared" si="6"/>
        <v>0</v>
      </c>
    </row>
    <row r="124" spans="1:5" hidden="1" x14ac:dyDescent="0.25">
      <c r="A124" s="890"/>
      <c r="B124" s="883">
        <f t="shared" si="5"/>
        <v>101</v>
      </c>
      <c r="C124" s="908">
        <f t="shared" si="6"/>
        <v>0</v>
      </c>
      <c r="D124" s="908">
        <f t="shared" si="6"/>
        <v>0</v>
      </c>
      <c r="E124" s="978">
        <f t="shared" si="6"/>
        <v>0</v>
      </c>
    </row>
    <row r="125" spans="1:5" hidden="1" x14ac:dyDescent="0.25">
      <c r="A125" s="890"/>
      <c r="B125" s="883">
        <f t="shared" si="5"/>
        <v>102</v>
      </c>
      <c r="C125" s="908">
        <f t="shared" ref="C125:E144" si="7">IF($B125&gt;$C$11*12,"",C$19)</f>
        <v>0</v>
      </c>
      <c r="D125" s="908">
        <f t="shared" si="7"/>
        <v>0</v>
      </c>
      <c r="E125" s="978">
        <f t="shared" si="7"/>
        <v>0</v>
      </c>
    </row>
    <row r="126" spans="1:5" hidden="1" x14ac:dyDescent="0.25">
      <c r="A126" s="890"/>
      <c r="B126" s="883">
        <f t="shared" si="5"/>
        <v>103</v>
      </c>
      <c r="C126" s="908">
        <f t="shared" si="7"/>
        <v>0</v>
      </c>
      <c r="D126" s="908">
        <f t="shared" si="7"/>
        <v>0</v>
      </c>
      <c r="E126" s="978">
        <f t="shared" si="7"/>
        <v>0</v>
      </c>
    </row>
    <row r="127" spans="1:5" hidden="1" x14ac:dyDescent="0.25">
      <c r="A127" s="890"/>
      <c r="B127" s="883">
        <f t="shared" si="5"/>
        <v>104</v>
      </c>
      <c r="C127" s="908">
        <f t="shared" si="7"/>
        <v>0</v>
      </c>
      <c r="D127" s="908">
        <f t="shared" si="7"/>
        <v>0</v>
      </c>
      <c r="E127" s="978">
        <f t="shared" si="7"/>
        <v>0</v>
      </c>
    </row>
    <row r="128" spans="1:5" hidden="1" x14ac:dyDescent="0.25">
      <c r="A128" s="890"/>
      <c r="B128" s="883">
        <f t="shared" si="5"/>
        <v>105</v>
      </c>
      <c r="C128" s="908">
        <f t="shared" si="7"/>
        <v>0</v>
      </c>
      <c r="D128" s="908">
        <f t="shared" si="7"/>
        <v>0</v>
      </c>
      <c r="E128" s="978">
        <f t="shared" si="7"/>
        <v>0</v>
      </c>
    </row>
    <row r="129" spans="1:5" hidden="1" x14ac:dyDescent="0.25">
      <c r="A129" s="890"/>
      <c r="B129" s="883">
        <f t="shared" si="5"/>
        <v>106</v>
      </c>
      <c r="C129" s="908">
        <f t="shared" si="7"/>
        <v>0</v>
      </c>
      <c r="D129" s="908">
        <f t="shared" si="7"/>
        <v>0</v>
      </c>
      <c r="E129" s="978">
        <f t="shared" si="7"/>
        <v>0</v>
      </c>
    </row>
    <row r="130" spans="1:5" hidden="1" x14ac:dyDescent="0.25">
      <c r="A130" s="890"/>
      <c r="B130" s="883">
        <f t="shared" si="5"/>
        <v>107</v>
      </c>
      <c r="C130" s="908">
        <f t="shared" si="7"/>
        <v>0</v>
      </c>
      <c r="D130" s="908">
        <f t="shared" si="7"/>
        <v>0</v>
      </c>
      <c r="E130" s="978">
        <f t="shared" si="7"/>
        <v>0</v>
      </c>
    </row>
    <row r="131" spans="1:5" hidden="1" x14ac:dyDescent="0.25">
      <c r="A131" s="890"/>
      <c r="B131" s="883">
        <f t="shared" si="5"/>
        <v>108</v>
      </c>
      <c r="C131" s="908">
        <f t="shared" si="7"/>
        <v>0</v>
      </c>
      <c r="D131" s="908">
        <f t="shared" si="7"/>
        <v>0</v>
      </c>
      <c r="E131" s="978">
        <f t="shared" si="7"/>
        <v>0</v>
      </c>
    </row>
    <row r="132" spans="1:5" hidden="1" x14ac:dyDescent="0.25">
      <c r="A132" s="890"/>
      <c r="B132" s="883">
        <f t="shared" si="5"/>
        <v>109</v>
      </c>
      <c r="C132" s="908">
        <f t="shared" si="7"/>
        <v>0</v>
      </c>
      <c r="D132" s="908">
        <f t="shared" si="7"/>
        <v>0</v>
      </c>
      <c r="E132" s="978">
        <f t="shared" si="7"/>
        <v>0</v>
      </c>
    </row>
    <row r="133" spans="1:5" hidden="1" x14ac:dyDescent="0.25">
      <c r="A133" s="890"/>
      <c r="B133" s="883">
        <f t="shared" si="5"/>
        <v>110</v>
      </c>
      <c r="C133" s="908">
        <f t="shared" si="7"/>
        <v>0</v>
      </c>
      <c r="D133" s="908">
        <f t="shared" si="7"/>
        <v>0</v>
      </c>
      <c r="E133" s="978">
        <f t="shared" si="7"/>
        <v>0</v>
      </c>
    </row>
    <row r="134" spans="1:5" hidden="1" x14ac:dyDescent="0.25">
      <c r="A134" s="890"/>
      <c r="B134" s="883">
        <f t="shared" si="5"/>
        <v>111</v>
      </c>
      <c r="C134" s="908">
        <f t="shared" si="7"/>
        <v>0</v>
      </c>
      <c r="D134" s="908">
        <f t="shared" si="7"/>
        <v>0</v>
      </c>
      <c r="E134" s="978">
        <f t="shared" si="7"/>
        <v>0</v>
      </c>
    </row>
    <row r="135" spans="1:5" hidden="1" x14ac:dyDescent="0.25">
      <c r="A135" s="890"/>
      <c r="B135" s="883">
        <f t="shared" si="5"/>
        <v>112</v>
      </c>
      <c r="C135" s="908">
        <f t="shared" si="7"/>
        <v>0</v>
      </c>
      <c r="D135" s="908">
        <f t="shared" si="7"/>
        <v>0</v>
      </c>
      <c r="E135" s="978">
        <f t="shared" si="7"/>
        <v>0</v>
      </c>
    </row>
    <row r="136" spans="1:5" hidden="1" x14ac:dyDescent="0.25">
      <c r="A136" s="890"/>
      <c r="B136" s="883">
        <f t="shared" si="5"/>
        <v>113</v>
      </c>
      <c r="C136" s="908">
        <f t="shared" si="7"/>
        <v>0</v>
      </c>
      <c r="D136" s="908">
        <f t="shared" si="7"/>
        <v>0</v>
      </c>
      <c r="E136" s="978">
        <f t="shared" si="7"/>
        <v>0</v>
      </c>
    </row>
    <row r="137" spans="1:5" hidden="1" x14ac:dyDescent="0.25">
      <c r="A137" s="890"/>
      <c r="B137" s="883">
        <f t="shared" si="5"/>
        <v>114</v>
      </c>
      <c r="C137" s="908">
        <f t="shared" si="7"/>
        <v>0</v>
      </c>
      <c r="D137" s="908">
        <f t="shared" si="7"/>
        <v>0</v>
      </c>
      <c r="E137" s="978">
        <f t="shared" si="7"/>
        <v>0</v>
      </c>
    </row>
    <row r="138" spans="1:5" hidden="1" x14ac:dyDescent="0.25">
      <c r="A138" s="890"/>
      <c r="B138" s="883">
        <f t="shared" si="5"/>
        <v>115</v>
      </c>
      <c r="C138" s="908">
        <f t="shared" si="7"/>
        <v>0</v>
      </c>
      <c r="D138" s="908">
        <f t="shared" si="7"/>
        <v>0</v>
      </c>
      <c r="E138" s="978">
        <f t="shared" si="7"/>
        <v>0</v>
      </c>
    </row>
    <row r="139" spans="1:5" hidden="1" x14ac:dyDescent="0.25">
      <c r="A139" s="890"/>
      <c r="B139" s="883">
        <f t="shared" si="5"/>
        <v>116</v>
      </c>
      <c r="C139" s="908">
        <f t="shared" si="7"/>
        <v>0</v>
      </c>
      <c r="D139" s="908">
        <f t="shared" si="7"/>
        <v>0</v>
      </c>
      <c r="E139" s="978">
        <f t="shared" si="7"/>
        <v>0</v>
      </c>
    </row>
    <row r="140" spans="1:5" hidden="1" x14ac:dyDescent="0.25">
      <c r="A140" s="890"/>
      <c r="B140" s="883">
        <f t="shared" si="5"/>
        <v>117</v>
      </c>
      <c r="C140" s="908">
        <f t="shared" si="7"/>
        <v>0</v>
      </c>
      <c r="D140" s="908">
        <f t="shared" si="7"/>
        <v>0</v>
      </c>
      <c r="E140" s="978">
        <f t="shared" si="7"/>
        <v>0</v>
      </c>
    </row>
    <row r="141" spans="1:5" hidden="1" x14ac:dyDescent="0.25">
      <c r="A141" s="890"/>
      <c r="B141" s="883">
        <f t="shared" si="5"/>
        <v>118</v>
      </c>
      <c r="C141" s="908">
        <f t="shared" si="7"/>
        <v>0</v>
      </c>
      <c r="D141" s="908">
        <f t="shared" si="7"/>
        <v>0</v>
      </c>
      <c r="E141" s="978">
        <f t="shared" si="7"/>
        <v>0</v>
      </c>
    </row>
    <row r="142" spans="1:5" hidden="1" x14ac:dyDescent="0.25">
      <c r="A142" s="890"/>
      <c r="B142" s="883">
        <f t="shared" si="5"/>
        <v>119</v>
      </c>
      <c r="C142" s="908">
        <f t="shared" si="7"/>
        <v>0</v>
      </c>
      <c r="D142" s="908">
        <f t="shared" si="7"/>
        <v>0</v>
      </c>
      <c r="E142" s="978">
        <f t="shared" si="7"/>
        <v>0</v>
      </c>
    </row>
    <row r="143" spans="1:5" hidden="1" x14ac:dyDescent="0.25">
      <c r="A143" s="890"/>
      <c r="B143" s="883">
        <f t="shared" si="5"/>
        <v>120</v>
      </c>
      <c r="C143" s="908">
        <f t="shared" si="7"/>
        <v>0</v>
      </c>
      <c r="D143" s="908">
        <f t="shared" si="7"/>
        <v>0</v>
      </c>
      <c r="E143" s="978">
        <f t="shared" si="7"/>
        <v>0</v>
      </c>
    </row>
    <row r="144" spans="1:5" hidden="1" x14ac:dyDescent="0.25">
      <c r="A144" s="890"/>
      <c r="B144" s="883">
        <f t="shared" si="5"/>
        <v>121</v>
      </c>
      <c r="C144" s="908">
        <f t="shared" si="7"/>
        <v>0</v>
      </c>
      <c r="D144" s="908">
        <f t="shared" si="7"/>
        <v>0</v>
      </c>
      <c r="E144" s="978">
        <f t="shared" si="7"/>
        <v>0</v>
      </c>
    </row>
    <row r="145" spans="1:5" hidden="1" x14ac:dyDescent="0.25">
      <c r="A145" s="890"/>
      <c r="B145" s="883">
        <f t="shared" si="5"/>
        <v>122</v>
      </c>
      <c r="C145" s="908">
        <f t="shared" ref="C145:E164" si="8">IF($B145&gt;$C$11*12,"",C$19)</f>
        <v>0</v>
      </c>
      <c r="D145" s="908">
        <f t="shared" si="8"/>
        <v>0</v>
      </c>
      <c r="E145" s="978">
        <f t="shared" si="8"/>
        <v>0</v>
      </c>
    </row>
    <row r="146" spans="1:5" hidden="1" x14ac:dyDescent="0.25">
      <c r="A146" s="890"/>
      <c r="B146" s="883">
        <f t="shared" si="5"/>
        <v>123</v>
      </c>
      <c r="C146" s="908">
        <f t="shared" si="8"/>
        <v>0</v>
      </c>
      <c r="D146" s="908">
        <f t="shared" si="8"/>
        <v>0</v>
      </c>
      <c r="E146" s="978">
        <f t="shared" si="8"/>
        <v>0</v>
      </c>
    </row>
    <row r="147" spans="1:5" hidden="1" x14ac:dyDescent="0.25">
      <c r="A147" s="890"/>
      <c r="B147" s="883">
        <f t="shared" si="5"/>
        <v>124</v>
      </c>
      <c r="C147" s="908">
        <f t="shared" si="8"/>
        <v>0</v>
      </c>
      <c r="D147" s="908">
        <f t="shared" si="8"/>
        <v>0</v>
      </c>
      <c r="E147" s="978">
        <f t="shared" si="8"/>
        <v>0</v>
      </c>
    </row>
    <row r="148" spans="1:5" hidden="1" x14ac:dyDescent="0.25">
      <c r="A148" s="890"/>
      <c r="B148" s="883">
        <f t="shared" si="5"/>
        <v>125</v>
      </c>
      <c r="C148" s="908">
        <f t="shared" si="8"/>
        <v>0</v>
      </c>
      <c r="D148" s="908">
        <f t="shared" si="8"/>
        <v>0</v>
      </c>
      <c r="E148" s="978">
        <f t="shared" si="8"/>
        <v>0</v>
      </c>
    </row>
    <row r="149" spans="1:5" hidden="1" x14ac:dyDescent="0.25">
      <c r="A149" s="890"/>
      <c r="B149" s="883">
        <f t="shared" si="5"/>
        <v>126</v>
      </c>
      <c r="C149" s="908">
        <f t="shared" si="8"/>
        <v>0</v>
      </c>
      <c r="D149" s="908">
        <f t="shared" si="8"/>
        <v>0</v>
      </c>
      <c r="E149" s="978">
        <f t="shared" si="8"/>
        <v>0</v>
      </c>
    </row>
    <row r="150" spans="1:5" hidden="1" x14ac:dyDescent="0.25">
      <c r="A150" s="890"/>
      <c r="B150" s="883">
        <f t="shared" si="5"/>
        <v>127</v>
      </c>
      <c r="C150" s="908">
        <f t="shared" si="8"/>
        <v>0</v>
      </c>
      <c r="D150" s="908">
        <f t="shared" si="8"/>
        <v>0</v>
      </c>
      <c r="E150" s="978">
        <f t="shared" si="8"/>
        <v>0</v>
      </c>
    </row>
    <row r="151" spans="1:5" hidden="1" x14ac:dyDescent="0.25">
      <c r="A151" s="890"/>
      <c r="B151" s="883">
        <f t="shared" si="5"/>
        <v>128</v>
      </c>
      <c r="C151" s="908">
        <f t="shared" si="8"/>
        <v>0</v>
      </c>
      <c r="D151" s="908">
        <f t="shared" si="8"/>
        <v>0</v>
      </c>
      <c r="E151" s="978">
        <f t="shared" si="8"/>
        <v>0</v>
      </c>
    </row>
    <row r="152" spans="1:5" hidden="1" x14ac:dyDescent="0.25">
      <c r="A152" s="890"/>
      <c r="B152" s="883">
        <f t="shared" si="5"/>
        <v>129</v>
      </c>
      <c r="C152" s="908">
        <f t="shared" si="8"/>
        <v>0</v>
      </c>
      <c r="D152" s="908">
        <f t="shared" si="8"/>
        <v>0</v>
      </c>
      <c r="E152" s="978">
        <f t="shared" si="8"/>
        <v>0</v>
      </c>
    </row>
    <row r="153" spans="1:5" hidden="1" x14ac:dyDescent="0.25">
      <c r="A153" s="890"/>
      <c r="B153" s="883">
        <f t="shared" si="5"/>
        <v>130</v>
      </c>
      <c r="C153" s="908">
        <f t="shared" si="8"/>
        <v>0</v>
      </c>
      <c r="D153" s="908">
        <f t="shared" si="8"/>
        <v>0</v>
      </c>
      <c r="E153" s="978">
        <f t="shared" si="8"/>
        <v>0</v>
      </c>
    </row>
    <row r="154" spans="1:5" hidden="1" x14ac:dyDescent="0.25">
      <c r="A154" s="890"/>
      <c r="B154" s="883">
        <f t="shared" ref="B154:B217" si="9">B153+1</f>
        <v>131</v>
      </c>
      <c r="C154" s="908">
        <f t="shared" si="8"/>
        <v>0</v>
      </c>
      <c r="D154" s="908">
        <f t="shared" si="8"/>
        <v>0</v>
      </c>
      <c r="E154" s="978">
        <f t="shared" si="8"/>
        <v>0</v>
      </c>
    </row>
    <row r="155" spans="1:5" hidden="1" x14ac:dyDescent="0.25">
      <c r="A155" s="890"/>
      <c r="B155" s="883">
        <f t="shared" si="9"/>
        <v>132</v>
      </c>
      <c r="C155" s="908">
        <f t="shared" si="8"/>
        <v>0</v>
      </c>
      <c r="D155" s="908">
        <f t="shared" si="8"/>
        <v>0</v>
      </c>
      <c r="E155" s="978">
        <f t="shared" si="8"/>
        <v>0</v>
      </c>
    </row>
    <row r="156" spans="1:5" hidden="1" x14ac:dyDescent="0.25">
      <c r="A156" s="890"/>
      <c r="B156" s="883">
        <f t="shared" si="9"/>
        <v>133</v>
      </c>
      <c r="C156" s="908">
        <f t="shared" si="8"/>
        <v>0</v>
      </c>
      <c r="D156" s="908">
        <f t="shared" si="8"/>
        <v>0</v>
      </c>
      <c r="E156" s="978">
        <f t="shared" si="8"/>
        <v>0</v>
      </c>
    </row>
    <row r="157" spans="1:5" hidden="1" x14ac:dyDescent="0.25">
      <c r="A157" s="890"/>
      <c r="B157" s="883">
        <f t="shared" si="9"/>
        <v>134</v>
      </c>
      <c r="C157" s="908">
        <f t="shared" si="8"/>
        <v>0</v>
      </c>
      <c r="D157" s="908">
        <f t="shared" si="8"/>
        <v>0</v>
      </c>
      <c r="E157" s="978">
        <f t="shared" si="8"/>
        <v>0</v>
      </c>
    </row>
    <row r="158" spans="1:5" hidden="1" x14ac:dyDescent="0.25">
      <c r="A158" s="890"/>
      <c r="B158" s="883">
        <f t="shared" si="9"/>
        <v>135</v>
      </c>
      <c r="C158" s="908">
        <f t="shared" si="8"/>
        <v>0</v>
      </c>
      <c r="D158" s="908">
        <f t="shared" si="8"/>
        <v>0</v>
      </c>
      <c r="E158" s="978">
        <f t="shared" si="8"/>
        <v>0</v>
      </c>
    </row>
    <row r="159" spans="1:5" hidden="1" x14ac:dyDescent="0.25">
      <c r="A159" s="890"/>
      <c r="B159" s="883">
        <f t="shared" si="9"/>
        <v>136</v>
      </c>
      <c r="C159" s="908">
        <f t="shared" si="8"/>
        <v>0</v>
      </c>
      <c r="D159" s="908">
        <f t="shared" si="8"/>
        <v>0</v>
      </c>
      <c r="E159" s="978">
        <f t="shared" si="8"/>
        <v>0</v>
      </c>
    </row>
    <row r="160" spans="1:5" hidden="1" x14ac:dyDescent="0.25">
      <c r="A160" s="890"/>
      <c r="B160" s="883">
        <f t="shared" si="9"/>
        <v>137</v>
      </c>
      <c r="C160" s="908">
        <f t="shared" si="8"/>
        <v>0</v>
      </c>
      <c r="D160" s="908">
        <f t="shared" si="8"/>
        <v>0</v>
      </c>
      <c r="E160" s="978">
        <f t="shared" si="8"/>
        <v>0</v>
      </c>
    </row>
    <row r="161" spans="1:5" hidden="1" x14ac:dyDescent="0.25">
      <c r="A161" s="890"/>
      <c r="B161" s="883">
        <f t="shared" si="9"/>
        <v>138</v>
      </c>
      <c r="C161" s="908">
        <f t="shared" si="8"/>
        <v>0</v>
      </c>
      <c r="D161" s="908">
        <f t="shared" si="8"/>
        <v>0</v>
      </c>
      <c r="E161" s="978">
        <f t="shared" si="8"/>
        <v>0</v>
      </c>
    </row>
    <row r="162" spans="1:5" hidden="1" x14ac:dyDescent="0.25">
      <c r="A162" s="890"/>
      <c r="B162" s="883">
        <f t="shared" si="9"/>
        <v>139</v>
      </c>
      <c r="C162" s="908">
        <f t="shared" si="8"/>
        <v>0</v>
      </c>
      <c r="D162" s="908">
        <f t="shared" si="8"/>
        <v>0</v>
      </c>
      <c r="E162" s="978">
        <f t="shared" si="8"/>
        <v>0</v>
      </c>
    </row>
    <row r="163" spans="1:5" hidden="1" x14ac:dyDescent="0.25">
      <c r="A163" s="890"/>
      <c r="B163" s="883">
        <f t="shared" si="9"/>
        <v>140</v>
      </c>
      <c r="C163" s="908">
        <f t="shared" si="8"/>
        <v>0</v>
      </c>
      <c r="D163" s="908">
        <f t="shared" si="8"/>
        <v>0</v>
      </c>
      <c r="E163" s="978">
        <f t="shared" si="8"/>
        <v>0</v>
      </c>
    </row>
    <row r="164" spans="1:5" hidden="1" x14ac:dyDescent="0.25">
      <c r="A164" s="890"/>
      <c r="B164" s="883">
        <f t="shared" si="9"/>
        <v>141</v>
      </c>
      <c r="C164" s="908">
        <f t="shared" si="8"/>
        <v>0</v>
      </c>
      <c r="D164" s="908">
        <f t="shared" si="8"/>
        <v>0</v>
      </c>
      <c r="E164" s="978">
        <f t="shared" si="8"/>
        <v>0</v>
      </c>
    </row>
    <row r="165" spans="1:5" hidden="1" x14ac:dyDescent="0.25">
      <c r="A165" s="890"/>
      <c r="B165" s="883">
        <f t="shared" si="9"/>
        <v>142</v>
      </c>
      <c r="C165" s="908">
        <f t="shared" ref="C165:E184" si="10">IF($B165&gt;$C$11*12,"",C$19)</f>
        <v>0</v>
      </c>
      <c r="D165" s="908">
        <f t="shared" si="10"/>
        <v>0</v>
      </c>
      <c r="E165" s="978">
        <f t="shared" si="10"/>
        <v>0</v>
      </c>
    </row>
    <row r="166" spans="1:5" hidden="1" x14ac:dyDescent="0.25">
      <c r="A166" s="890"/>
      <c r="B166" s="883">
        <f t="shared" si="9"/>
        <v>143</v>
      </c>
      <c r="C166" s="908">
        <f t="shared" si="10"/>
        <v>0</v>
      </c>
      <c r="D166" s="908">
        <f t="shared" si="10"/>
        <v>0</v>
      </c>
      <c r="E166" s="978">
        <f t="shared" si="10"/>
        <v>0</v>
      </c>
    </row>
    <row r="167" spans="1:5" hidden="1" x14ac:dyDescent="0.25">
      <c r="A167" s="890"/>
      <c r="B167" s="883">
        <f t="shared" si="9"/>
        <v>144</v>
      </c>
      <c r="C167" s="908">
        <f t="shared" si="10"/>
        <v>0</v>
      </c>
      <c r="D167" s="908">
        <f t="shared" si="10"/>
        <v>0</v>
      </c>
      <c r="E167" s="978">
        <f t="shared" si="10"/>
        <v>0</v>
      </c>
    </row>
    <row r="168" spans="1:5" hidden="1" x14ac:dyDescent="0.25">
      <c r="A168" s="890"/>
      <c r="B168" s="883">
        <f t="shared" si="9"/>
        <v>145</v>
      </c>
      <c r="C168" s="908">
        <f t="shared" si="10"/>
        <v>0</v>
      </c>
      <c r="D168" s="908">
        <f t="shared" si="10"/>
        <v>0</v>
      </c>
      <c r="E168" s="978">
        <f t="shared" si="10"/>
        <v>0</v>
      </c>
    </row>
    <row r="169" spans="1:5" hidden="1" x14ac:dyDescent="0.25">
      <c r="A169" s="890"/>
      <c r="B169" s="883">
        <f t="shared" si="9"/>
        <v>146</v>
      </c>
      <c r="C169" s="908">
        <f t="shared" si="10"/>
        <v>0</v>
      </c>
      <c r="D169" s="908">
        <f t="shared" si="10"/>
        <v>0</v>
      </c>
      <c r="E169" s="978">
        <f t="shared" si="10"/>
        <v>0</v>
      </c>
    </row>
    <row r="170" spans="1:5" hidden="1" x14ac:dyDescent="0.25">
      <c r="A170" s="890"/>
      <c r="B170" s="883">
        <f t="shared" si="9"/>
        <v>147</v>
      </c>
      <c r="C170" s="908">
        <f t="shared" si="10"/>
        <v>0</v>
      </c>
      <c r="D170" s="908">
        <f t="shared" si="10"/>
        <v>0</v>
      </c>
      <c r="E170" s="978">
        <f t="shared" si="10"/>
        <v>0</v>
      </c>
    </row>
    <row r="171" spans="1:5" hidden="1" x14ac:dyDescent="0.25">
      <c r="A171" s="890"/>
      <c r="B171" s="883">
        <f t="shared" si="9"/>
        <v>148</v>
      </c>
      <c r="C171" s="908">
        <f t="shared" si="10"/>
        <v>0</v>
      </c>
      <c r="D171" s="908">
        <f t="shared" si="10"/>
        <v>0</v>
      </c>
      <c r="E171" s="978">
        <f t="shared" si="10"/>
        <v>0</v>
      </c>
    </row>
    <row r="172" spans="1:5" hidden="1" x14ac:dyDescent="0.25">
      <c r="A172" s="890"/>
      <c r="B172" s="883">
        <f t="shared" si="9"/>
        <v>149</v>
      </c>
      <c r="C172" s="908">
        <f t="shared" si="10"/>
        <v>0</v>
      </c>
      <c r="D172" s="908">
        <f t="shared" si="10"/>
        <v>0</v>
      </c>
      <c r="E172" s="978">
        <f t="shared" si="10"/>
        <v>0</v>
      </c>
    </row>
    <row r="173" spans="1:5" hidden="1" x14ac:dyDescent="0.25">
      <c r="A173" s="890"/>
      <c r="B173" s="883">
        <f t="shared" si="9"/>
        <v>150</v>
      </c>
      <c r="C173" s="908">
        <f t="shared" si="10"/>
        <v>0</v>
      </c>
      <c r="D173" s="908">
        <f t="shared" si="10"/>
        <v>0</v>
      </c>
      <c r="E173" s="978">
        <f t="shared" si="10"/>
        <v>0</v>
      </c>
    </row>
    <row r="174" spans="1:5" hidden="1" x14ac:dyDescent="0.25">
      <c r="A174" s="890"/>
      <c r="B174" s="883">
        <f t="shared" si="9"/>
        <v>151</v>
      </c>
      <c r="C174" s="908">
        <f t="shared" si="10"/>
        <v>0</v>
      </c>
      <c r="D174" s="908">
        <f t="shared" si="10"/>
        <v>0</v>
      </c>
      <c r="E174" s="978">
        <f t="shared" si="10"/>
        <v>0</v>
      </c>
    </row>
    <row r="175" spans="1:5" hidden="1" x14ac:dyDescent="0.25">
      <c r="A175" s="890"/>
      <c r="B175" s="883">
        <f t="shared" si="9"/>
        <v>152</v>
      </c>
      <c r="C175" s="908">
        <f t="shared" si="10"/>
        <v>0</v>
      </c>
      <c r="D175" s="908">
        <f t="shared" si="10"/>
        <v>0</v>
      </c>
      <c r="E175" s="978">
        <f t="shared" si="10"/>
        <v>0</v>
      </c>
    </row>
    <row r="176" spans="1:5" hidden="1" x14ac:dyDescent="0.25">
      <c r="A176" s="890"/>
      <c r="B176" s="883">
        <f t="shared" si="9"/>
        <v>153</v>
      </c>
      <c r="C176" s="908">
        <f t="shared" si="10"/>
        <v>0</v>
      </c>
      <c r="D176" s="908">
        <f t="shared" si="10"/>
        <v>0</v>
      </c>
      <c r="E176" s="978">
        <f t="shared" si="10"/>
        <v>0</v>
      </c>
    </row>
    <row r="177" spans="1:5" hidden="1" x14ac:dyDescent="0.25">
      <c r="A177" s="890"/>
      <c r="B177" s="883">
        <f t="shared" si="9"/>
        <v>154</v>
      </c>
      <c r="C177" s="908">
        <f t="shared" si="10"/>
        <v>0</v>
      </c>
      <c r="D177" s="908">
        <f t="shared" si="10"/>
        <v>0</v>
      </c>
      <c r="E177" s="978">
        <f t="shared" si="10"/>
        <v>0</v>
      </c>
    </row>
    <row r="178" spans="1:5" hidden="1" x14ac:dyDescent="0.25">
      <c r="A178" s="890"/>
      <c r="B178" s="883">
        <f t="shared" si="9"/>
        <v>155</v>
      </c>
      <c r="C178" s="908">
        <f t="shared" si="10"/>
        <v>0</v>
      </c>
      <c r="D178" s="908">
        <f t="shared" si="10"/>
        <v>0</v>
      </c>
      <c r="E178" s="978">
        <f t="shared" si="10"/>
        <v>0</v>
      </c>
    </row>
    <row r="179" spans="1:5" hidden="1" x14ac:dyDescent="0.25">
      <c r="A179" s="890"/>
      <c r="B179" s="883">
        <f t="shared" si="9"/>
        <v>156</v>
      </c>
      <c r="C179" s="908">
        <f t="shared" si="10"/>
        <v>0</v>
      </c>
      <c r="D179" s="908">
        <f t="shared" si="10"/>
        <v>0</v>
      </c>
      <c r="E179" s="978">
        <f t="shared" si="10"/>
        <v>0</v>
      </c>
    </row>
    <row r="180" spans="1:5" hidden="1" x14ac:dyDescent="0.25">
      <c r="A180" s="890"/>
      <c r="B180" s="883">
        <f t="shared" si="9"/>
        <v>157</v>
      </c>
      <c r="C180" s="908">
        <f t="shared" si="10"/>
        <v>0</v>
      </c>
      <c r="D180" s="908">
        <f t="shared" si="10"/>
        <v>0</v>
      </c>
      <c r="E180" s="978">
        <f t="shared" si="10"/>
        <v>0</v>
      </c>
    </row>
    <row r="181" spans="1:5" hidden="1" x14ac:dyDescent="0.25">
      <c r="A181" s="890"/>
      <c r="B181" s="883">
        <f t="shared" si="9"/>
        <v>158</v>
      </c>
      <c r="C181" s="908">
        <f t="shared" si="10"/>
        <v>0</v>
      </c>
      <c r="D181" s="908">
        <f t="shared" si="10"/>
        <v>0</v>
      </c>
      <c r="E181" s="978">
        <f t="shared" si="10"/>
        <v>0</v>
      </c>
    </row>
    <row r="182" spans="1:5" hidden="1" x14ac:dyDescent="0.25">
      <c r="A182" s="890"/>
      <c r="B182" s="883">
        <f t="shared" si="9"/>
        <v>159</v>
      </c>
      <c r="C182" s="908">
        <f t="shared" si="10"/>
        <v>0</v>
      </c>
      <c r="D182" s="908">
        <f t="shared" si="10"/>
        <v>0</v>
      </c>
      <c r="E182" s="978">
        <f t="shared" si="10"/>
        <v>0</v>
      </c>
    </row>
    <row r="183" spans="1:5" hidden="1" x14ac:dyDescent="0.25">
      <c r="A183" s="890"/>
      <c r="B183" s="883">
        <f t="shared" si="9"/>
        <v>160</v>
      </c>
      <c r="C183" s="908">
        <f t="shared" si="10"/>
        <v>0</v>
      </c>
      <c r="D183" s="908">
        <f t="shared" si="10"/>
        <v>0</v>
      </c>
      <c r="E183" s="978">
        <f t="shared" si="10"/>
        <v>0</v>
      </c>
    </row>
    <row r="184" spans="1:5" hidden="1" x14ac:dyDescent="0.25">
      <c r="A184" s="890"/>
      <c r="B184" s="883">
        <f t="shared" si="9"/>
        <v>161</v>
      </c>
      <c r="C184" s="908">
        <f t="shared" si="10"/>
        <v>0</v>
      </c>
      <c r="D184" s="908">
        <f t="shared" si="10"/>
        <v>0</v>
      </c>
      <c r="E184" s="978">
        <f t="shared" si="10"/>
        <v>0</v>
      </c>
    </row>
    <row r="185" spans="1:5" hidden="1" x14ac:dyDescent="0.25">
      <c r="A185" s="890"/>
      <c r="B185" s="883">
        <f t="shared" si="9"/>
        <v>162</v>
      </c>
      <c r="C185" s="908">
        <f t="shared" ref="C185:E202" si="11">IF($B185&gt;$C$11*12,"",C$19)</f>
        <v>0</v>
      </c>
      <c r="D185" s="908">
        <f t="shared" si="11"/>
        <v>0</v>
      </c>
      <c r="E185" s="978">
        <f t="shared" si="11"/>
        <v>0</v>
      </c>
    </row>
    <row r="186" spans="1:5" hidden="1" x14ac:dyDescent="0.25">
      <c r="A186" s="890"/>
      <c r="B186" s="883">
        <f t="shared" si="9"/>
        <v>163</v>
      </c>
      <c r="C186" s="908">
        <f t="shared" si="11"/>
        <v>0</v>
      </c>
      <c r="D186" s="908">
        <f t="shared" si="11"/>
        <v>0</v>
      </c>
      <c r="E186" s="978">
        <f t="shared" si="11"/>
        <v>0</v>
      </c>
    </row>
    <row r="187" spans="1:5" hidden="1" x14ac:dyDescent="0.25">
      <c r="A187" s="890"/>
      <c r="B187" s="883">
        <f t="shared" si="9"/>
        <v>164</v>
      </c>
      <c r="C187" s="908">
        <f t="shared" si="11"/>
        <v>0</v>
      </c>
      <c r="D187" s="908">
        <f t="shared" si="11"/>
        <v>0</v>
      </c>
      <c r="E187" s="978">
        <f t="shared" si="11"/>
        <v>0</v>
      </c>
    </row>
    <row r="188" spans="1:5" hidden="1" x14ac:dyDescent="0.25">
      <c r="A188" s="890"/>
      <c r="B188" s="883">
        <f t="shared" si="9"/>
        <v>165</v>
      </c>
      <c r="C188" s="908">
        <f t="shared" si="11"/>
        <v>0</v>
      </c>
      <c r="D188" s="908">
        <f t="shared" si="11"/>
        <v>0</v>
      </c>
      <c r="E188" s="978">
        <f t="shared" si="11"/>
        <v>0</v>
      </c>
    </row>
    <row r="189" spans="1:5" hidden="1" x14ac:dyDescent="0.25">
      <c r="A189" s="890"/>
      <c r="B189" s="883">
        <f t="shared" si="9"/>
        <v>166</v>
      </c>
      <c r="C189" s="908">
        <f t="shared" si="11"/>
        <v>0</v>
      </c>
      <c r="D189" s="908">
        <f t="shared" si="11"/>
        <v>0</v>
      </c>
      <c r="E189" s="978">
        <f t="shared" si="11"/>
        <v>0</v>
      </c>
    </row>
    <row r="190" spans="1:5" hidden="1" x14ac:dyDescent="0.25">
      <c r="A190" s="890"/>
      <c r="B190" s="883">
        <f t="shared" si="9"/>
        <v>167</v>
      </c>
      <c r="C190" s="908">
        <f t="shared" si="11"/>
        <v>0</v>
      </c>
      <c r="D190" s="908">
        <f t="shared" si="11"/>
        <v>0</v>
      </c>
      <c r="E190" s="978">
        <f t="shared" si="11"/>
        <v>0</v>
      </c>
    </row>
    <row r="191" spans="1:5" hidden="1" x14ac:dyDescent="0.25">
      <c r="A191" s="890"/>
      <c r="B191" s="883">
        <f t="shared" si="9"/>
        <v>168</v>
      </c>
      <c r="C191" s="908">
        <f t="shared" si="11"/>
        <v>0</v>
      </c>
      <c r="D191" s="908">
        <f t="shared" si="11"/>
        <v>0</v>
      </c>
      <c r="E191" s="978">
        <f t="shared" si="11"/>
        <v>0</v>
      </c>
    </row>
    <row r="192" spans="1:5" hidden="1" x14ac:dyDescent="0.25">
      <c r="A192" s="890"/>
      <c r="B192" s="883">
        <f t="shared" si="9"/>
        <v>169</v>
      </c>
      <c r="C192" s="908">
        <f t="shared" si="11"/>
        <v>0</v>
      </c>
      <c r="D192" s="908">
        <f t="shared" si="11"/>
        <v>0</v>
      </c>
      <c r="E192" s="978">
        <f t="shared" si="11"/>
        <v>0</v>
      </c>
    </row>
    <row r="193" spans="1:5" hidden="1" x14ac:dyDescent="0.25">
      <c r="A193" s="890"/>
      <c r="B193" s="883">
        <f t="shared" si="9"/>
        <v>170</v>
      </c>
      <c r="C193" s="908">
        <f t="shared" si="11"/>
        <v>0</v>
      </c>
      <c r="D193" s="908">
        <f t="shared" si="11"/>
        <v>0</v>
      </c>
      <c r="E193" s="978">
        <f t="shared" si="11"/>
        <v>0</v>
      </c>
    </row>
    <row r="194" spans="1:5" hidden="1" x14ac:dyDescent="0.25">
      <c r="A194" s="890"/>
      <c r="B194" s="883">
        <f t="shared" si="9"/>
        <v>171</v>
      </c>
      <c r="C194" s="908">
        <f t="shared" si="11"/>
        <v>0</v>
      </c>
      <c r="D194" s="908">
        <f t="shared" si="11"/>
        <v>0</v>
      </c>
      <c r="E194" s="978">
        <f t="shared" si="11"/>
        <v>0</v>
      </c>
    </row>
    <row r="195" spans="1:5" hidden="1" x14ac:dyDescent="0.25">
      <c r="A195" s="890"/>
      <c r="B195" s="883">
        <f t="shared" si="9"/>
        <v>172</v>
      </c>
      <c r="C195" s="908">
        <f t="shared" si="11"/>
        <v>0</v>
      </c>
      <c r="D195" s="908">
        <f t="shared" si="11"/>
        <v>0</v>
      </c>
      <c r="E195" s="978">
        <f t="shared" si="11"/>
        <v>0</v>
      </c>
    </row>
    <row r="196" spans="1:5" hidden="1" x14ac:dyDescent="0.25">
      <c r="A196" s="890"/>
      <c r="B196" s="883">
        <f t="shared" si="9"/>
        <v>173</v>
      </c>
      <c r="C196" s="908">
        <f t="shared" si="11"/>
        <v>0</v>
      </c>
      <c r="D196" s="908">
        <f t="shared" si="11"/>
        <v>0</v>
      </c>
      <c r="E196" s="978">
        <f t="shared" si="11"/>
        <v>0</v>
      </c>
    </row>
    <row r="197" spans="1:5" hidden="1" x14ac:dyDescent="0.25">
      <c r="A197" s="890"/>
      <c r="B197" s="883">
        <f t="shared" si="9"/>
        <v>174</v>
      </c>
      <c r="C197" s="908">
        <f t="shared" si="11"/>
        <v>0</v>
      </c>
      <c r="D197" s="908">
        <f t="shared" si="11"/>
        <v>0</v>
      </c>
      <c r="E197" s="978">
        <f t="shared" si="11"/>
        <v>0</v>
      </c>
    </row>
    <row r="198" spans="1:5" hidden="1" x14ac:dyDescent="0.25">
      <c r="A198" s="890"/>
      <c r="B198" s="883">
        <f t="shared" si="9"/>
        <v>175</v>
      </c>
      <c r="C198" s="908">
        <f t="shared" si="11"/>
        <v>0</v>
      </c>
      <c r="D198" s="908">
        <f t="shared" si="11"/>
        <v>0</v>
      </c>
      <c r="E198" s="978">
        <f t="shared" si="11"/>
        <v>0</v>
      </c>
    </row>
    <row r="199" spans="1:5" hidden="1" x14ac:dyDescent="0.25">
      <c r="A199" s="890"/>
      <c r="B199" s="883">
        <f t="shared" si="9"/>
        <v>176</v>
      </c>
      <c r="C199" s="908">
        <f t="shared" si="11"/>
        <v>0</v>
      </c>
      <c r="D199" s="908">
        <f t="shared" si="11"/>
        <v>0</v>
      </c>
      <c r="E199" s="978">
        <f t="shared" si="11"/>
        <v>0</v>
      </c>
    </row>
    <row r="200" spans="1:5" hidden="1" x14ac:dyDescent="0.25">
      <c r="A200" s="890"/>
      <c r="B200" s="883">
        <f t="shared" si="9"/>
        <v>177</v>
      </c>
      <c r="C200" s="908">
        <f t="shared" si="11"/>
        <v>0</v>
      </c>
      <c r="D200" s="908">
        <f t="shared" si="11"/>
        <v>0</v>
      </c>
      <c r="E200" s="978">
        <f t="shared" si="11"/>
        <v>0</v>
      </c>
    </row>
    <row r="201" spans="1:5" hidden="1" x14ac:dyDescent="0.25">
      <c r="A201" s="890"/>
      <c r="B201" s="883">
        <f t="shared" si="9"/>
        <v>178</v>
      </c>
      <c r="C201" s="908">
        <f t="shared" si="11"/>
        <v>0</v>
      </c>
      <c r="D201" s="908">
        <f t="shared" si="11"/>
        <v>0</v>
      </c>
      <c r="E201" s="978">
        <f t="shared" si="11"/>
        <v>0</v>
      </c>
    </row>
    <row r="202" spans="1:5" hidden="1" x14ac:dyDescent="0.25">
      <c r="A202" s="890"/>
      <c r="B202" s="883">
        <f t="shared" si="9"/>
        <v>179</v>
      </c>
      <c r="C202" s="908">
        <f t="shared" si="11"/>
        <v>0</v>
      </c>
      <c r="D202" s="908">
        <f t="shared" si="11"/>
        <v>0</v>
      </c>
      <c r="E202" s="978">
        <f t="shared" si="11"/>
        <v>0</v>
      </c>
    </row>
    <row r="203" spans="1:5" hidden="1" x14ac:dyDescent="0.25">
      <c r="A203" s="890"/>
      <c r="B203" s="883">
        <f>B202+1</f>
        <v>180</v>
      </c>
      <c r="C203" s="908">
        <f>IF($B203&gt;$C$11*12,"",IF(AND($C$11&gt;$D$11,B203&gt;=$D$11*12),"",C$19))</f>
        <v>0</v>
      </c>
      <c r="D203" s="908">
        <f>IF($B203&gt;$C$11*12,"",IF(AND($C$11&gt;$D$11,B203&gt;=$D$11*12),"",D$19))</f>
        <v>0</v>
      </c>
      <c r="E203" s="978">
        <f>IF($B203&gt;$C$11*12,"",IF(AND($C$11&gt;$D$11,B203&gt;=$D$11*12),"",E$19))</f>
        <v>0</v>
      </c>
    </row>
    <row r="204" spans="1:5" hidden="1" x14ac:dyDescent="0.25">
      <c r="A204" s="890"/>
      <c r="B204" s="883">
        <f t="shared" si="9"/>
        <v>181</v>
      </c>
      <c r="C204" s="908">
        <f t="shared" ref="C204:C267" si="12">IF($B204&gt;$C$11*12,"",IF(AND($C$11&gt;$D$11,B204&gt;=$D$11*12),"",C$19))</f>
        <v>0</v>
      </c>
      <c r="D204" s="908">
        <f t="shared" ref="D204:D267" si="13">IF($B204&gt;$C$11*12,"",IF(AND($C$11&gt;$D$11,B204&gt;=$D$11*12),"",D$19))</f>
        <v>0</v>
      </c>
      <c r="E204" s="978">
        <f t="shared" ref="E204:E267" si="14">IF($B204&gt;$C$11*12,"",IF(AND($C$11&gt;$D$11,B204&gt;=$D$11*12),"",E$19))</f>
        <v>0</v>
      </c>
    </row>
    <row r="205" spans="1:5" hidden="1" x14ac:dyDescent="0.25">
      <c r="A205" s="890"/>
      <c r="B205" s="883">
        <f t="shared" si="9"/>
        <v>182</v>
      </c>
      <c r="C205" s="908">
        <f t="shared" si="12"/>
        <v>0</v>
      </c>
      <c r="D205" s="908">
        <f t="shared" si="13"/>
        <v>0</v>
      </c>
      <c r="E205" s="978">
        <f t="shared" si="14"/>
        <v>0</v>
      </c>
    </row>
    <row r="206" spans="1:5" hidden="1" x14ac:dyDescent="0.25">
      <c r="A206" s="890"/>
      <c r="B206" s="883">
        <f t="shared" si="9"/>
        <v>183</v>
      </c>
      <c r="C206" s="908">
        <f t="shared" si="12"/>
        <v>0</v>
      </c>
      <c r="D206" s="908">
        <f t="shared" si="13"/>
        <v>0</v>
      </c>
      <c r="E206" s="978">
        <f t="shared" si="14"/>
        <v>0</v>
      </c>
    </row>
    <row r="207" spans="1:5" hidden="1" x14ac:dyDescent="0.25">
      <c r="A207" s="890"/>
      <c r="B207" s="883">
        <f t="shared" si="9"/>
        <v>184</v>
      </c>
      <c r="C207" s="908">
        <f t="shared" si="12"/>
        <v>0</v>
      </c>
      <c r="D207" s="908">
        <f t="shared" si="13"/>
        <v>0</v>
      </c>
      <c r="E207" s="978">
        <f t="shared" si="14"/>
        <v>0</v>
      </c>
    </row>
    <row r="208" spans="1:5" hidden="1" x14ac:dyDescent="0.25">
      <c r="A208" s="890"/>
      <c r="B208" s="883">
        <f t="shared" si="9"/>
        <v>185</v>
      </c>
      <c r="C208" s="908">
        <f t="shared" si="12"/>
        <v>0</v>
      </c>
      <c r="D208" s="908">
        <f t="shared" si="13"/>
        <v>0</v>
      </c>
      <c r="E208" s="978">
        <f t="shared" si="14"/>
        <v>0</v>
      </c>
    </row>
    <row r="209" spans="1:5" hidden="1" x14ac:dyDescent="0.25">
      <c r="A209" s="890"/>
      <c r="B209" s="883">
        <f t="shared" si="9"/>
        <v>186</v>
      </c>
      <c r="C209" s="908">
        <f t="shared" si="12"/>
        <v>0</v>
      </c>
      <c r="D209" s="908">
        <f t="shared" si="13"/>
        <v>0</v>
      </c>
      <c r="E209" s="978">
        <f t="shared" si="14"/>
        <v>0</v>
      </c>
    </row>
    <row r="210" spans="1:5" hidden="1" x14ac:dyDescent="0.25">
      <c r="A210" s="890"/>
      <c r="B210" s="883">
        <f t="shared" si="9"/>
        <v>187</v>
      </c>
      <c r="C210" s="908">
        <f t="shared" si="12"/>
        <v>0</v>
      </c>
      <c r="D210" s="908">
        <f t="shared" si="13"/>
        <v>0</v>
      </c>
      <c r="E210" s="978">
        <f t="shared" si="14"/>
        <v>0</v>
      </c>
    </row>
    <row r="211" spans="1:5" hidden="1" x14ac:dyDescent="0.25">
      <c r="A211" s="890"/>
      <c r="B211" s="883">
        <f t="shared" si="9"/>
        <v>188</v>
      </c>
      <c r="C211" s="908">
        <f t="shared" si="12"/>
        <v>0</v>
      </c>
      <c r="D211" s="908">
        <f t="shared" si="13"/>
        <v>0</v>
      </c>
      <c r="E211" s="978">
        <f t="shared" si="14"/>
        <v>0</v>
      </c>
    </row>
    <row r="212" spans="1:5" hidden="1" x14ac:dyDescent="0.25">
      <c r="A212" s="890"/>
      <c r="B212" s="883">
        <f t="shared" si="9"/>
        <v>189</v>
      </c>
      <c r="C212" s="908">
        <f t="shared" si="12"/>
        <v>0</v>
      </c>
      <c r="D212" s="908">
        <f t="shared" si="13"/>
        <v>0</v>
      </c>
      <c r="E212" s="978">
        <f t="shared" si="14"/>
        <v>0</v>
      </c>
    </row>
    <row r="213" spans="1:5" hidden="1" x14ac:dyDescent="0.25">
      <c r="A213" s="890"/>
      <c r="B213" s="883">
        <f t="shared" si="9"/>
        <v>190</v>
      </c>
      <c r="C213" s="908">
        <f t="shared" si="12"/>
        <v>0</v>
      </c>
      <c r="D213" s="908">
        <f t="shared" si="13"/>
        <v>0</v>
      </c>
      <c r="E213" s="978">
        <f t="shared" si="14"/>
        <v>0</v>
      </c>
    </row>
    <row r="214" spans="1:5" hidden="1" x14ac:dyDescent="0.25">
      <c r="A214" s="890"/>
      <c r="B214" s="883">
        <f t="shared" si="9"/>
        <v>191</v>
      </c>
      <c r="C214" s="908">
        <f t="shared" si="12"/>
        <v>0</v>
      </c>
      <c r="D214" s="908">
        <f t="shared" si="13"/>
        <v>0</v>
      </c>
      <c r="E214" s="978">
        <f t="shared" si="14"/>
        <v>0</v>
      </c>
    </row>
    <row r="215" spans="1:5" hidden="1" x14ac:dyDescent="0.25">
      <c r="A215" s="890"/>
      <c r="B215" s="883">
        <f t="shared" si="9"/>
        <v>192</v>
      </c>
      <c r="C215" s="908">
        <f t="shared" si="12"/>
        <v>0</v>
      </c>
      <c r="D215" s="908">
        <f t="shared" si="13"/>
        <v>0</v>
      </c>
      <c r="E215" s="978">
        <f t="shared" si="14"/>
        <v>0</v>
      </c>
    </row>
    <row r="216" spans="1:5" hidden="1" x14ac:dyDescent="0.25">
      <c r="A216" s="890"/>
      <c r="B216" s="883">
        <f t="shared" si="9"/>
        <v>193</v>
      </c>
      <c r="C216" s="908">
        <f t="shared" si="12"/>
        <v>0</v>
      </c>
      <c r="D216" s="908">
        <f t="shared" si="13"/>
        <v>0</v>
      </c>
      <c r="E216" s="978">
        <f t="shared" si="14"/>
        <v>0</v>
      </c>
    </row>
    <row r="217" spans="1:5" hidden="1" x14ac:dyDescent="0.25">
      <c r="A217" s="890"/>
      <c r="B217" s="883">
        <f t="shared" si="9"/>
        <v>194</v>
      </c>
      <c r="C217" s="908">
        <f t="shared" si="12"/>
        <v>0</v>
      </c>
      <c r="D217" s="908">
        <f t="shared" si="13"/>
        <v>0</v>
      </c>
      <c r="E217" s="978">
        <f t="shared" si="14"/>
        <v>0</v>
      </c>
    </row>
    <row r="218" spans="1:5" hidden="1" x14ac:dyDescent="0.25">
      <c r="A218" s="890"/>
      <c r="B218" s="883">
        <f t="shared" ref="B218:B281" si="15">B217+1</f>
        <v>195</v>
      </c>
      <c r="C218" s="908">
        <f t="shared" si="12"/>
        <v>0</v>
      </c>
      <c r="D218" s="908">
        <f t="shared" si="13"/>
        <v>0</v>
      </c>
      <c r="E218" s="978">
        <f t="shared" si="14"/>
        <v>0</v>
      </c>
    </row>
    <row r="219" spans="1:5" hidden="1" x14ac:dyDescent="0.25">
      <c r="A219" s="890"/>
      <c r="B219" s="883">
        <f t="shared" si="15"/>
        <v>196</v>
      </c>
      <c r="C219" s="908">
        <f t="shared" si="12"/>
        <v>0</v>
      </c>
      <c r="D219" s="908">
        <f t="shared" si="13"/>
        <v>0</v>
      </c>
      <c r="E219" s="978">
        <f t="shared" si="14"/>
        <v>0</v>
      </c>
    </row>
    <row r="220" spans="1:5" hidden="1" x14ac:dyDescent="0.25">
      <c r="A220" s="890"/>
      <c r="B220" s="883">
        <f t="shared" si="15"/>
        <v>197</v>
      </c>
      <c r="C220" s="908">
        <f t="shared" si="12"/>
        <v>0</v>
      </c>
      <c r="D220" s="908">
        <f t="shared" si="13"/>
        <v>0</v>
      </c>
      <c r="E220" s="978">
        <f t="shared" si="14"/>
        <v>0</v>
      </c>
    </row>
    <row r="221" spans="1:5" hidden="1" x14ac:dyDescent="0.25">
      <c r="A221" s="890"/>
      <c r="B221" s="883">
        <f t="shared" si="15"/>
        <v>198</v>
      </c>
      <c r="C221" s="908">
        <f t="shared" si="12"/>
        <v>0</v>
      </c>
      <c r="D221" s="908">
        <f t="shared" si="13"/>
        <v>0</v>
      </c>
      <c r="E221" s="978">
        <f t="shared" si="14"/>
        <v>0</v>
      </c>
    </row>
    <row r="222" spans="1:5" hidden="1" x14ac:dyDescent="0.25">
      <c r="A222" s="890"/>
      <c r="B222" s="883">
        <f t="shared" si="15"/>
        <v>199</v>
      </c>
      <c r="C222" s="908">
        <f t="shared" si="12"/>
        <v>0</v>
      </c>
      <c r="D222" s="908">
        <f t="shared" si="13"/>
        <v>0</v>
      </c>
      <c r="E222" s="978">
        <f t="shared" si="14"/>
        <v>0</v>
      </c>
    </row>
    <row r="223" spans="1:5" hidden="1" x14ac:dyDescent="0.25">
      <c r="A223" s="890"/>
      <c r="B223" s="883">
        <f t="shared" si="15"/>
        <v>200</v>
      </c>
      <c r="C223" s="908">
        <f t="shared" si="12"/>
        <v>0</v>
      </c>
      <c r="D223" s="908">
        <f t="shared" si="13"/>
        <v>0</v>
      </c>
      <c r="E223" s="978">
        <f t="shared" si="14"/>
        <v>0</v>
      </c>
    </row>
    <row r="224" spans="1:5" hidden="1" x14ac:dyDescent="0.25">
      <c r="A224" s="890"/>
      <c r="B224" s="883">
        <f t="shared" si="15"/>
        <v>201</v>
      </c>
      <c r="C224" s="908">
        <f t="shared" si="12"/>
        <v>0</v>
      </c>
      <c r="D224" s="908">
        <f t="shared" si="13"/>
        <v>0</v>
      </c>
      <c r="E224" s="978">
        <f t="shared" si="14"/>
        <v>0</v>
      </c>
    </row>
    <row r="225" spans="1:5" hidden="1" x14ac:dyDescent="0.25">
      <c r="A225" s="890"/>
      <c r="B225" s="883">
        <f t="shared" si="15"/>
        <v>202</v>
      </c>
      <c r="C225" s="908">
        <f t="shared" si="12"/>
        <v>0</v>
      </c>
      <c r="D225" s="908">
        <f t="shared" si="13"/>
        <v>0</v>
      </c>
      <c r="E225" s="978">
        <f t="shared" si="14"/>
        <v>0</v>
      </c>
    </row>
    <row r="226" spans="1:5" hidden="1" x14ac:dyDescent="0.25">
      <c r="A226" s="890"/>
      <c r="B226" s="883">
        <f t="shared" si="15"/>
        <v>203</v>
      </c>
      <c r="C226" s="908">
        <f t="shared" si="12"/>
        <v>0</v>
      </c>
      <c r="D226" s="908">
        <f t="shared" si="13"/>
        <v>0</v>
      </c>
      <c r="E226" s="978">
        <f t="shared" si="14"/>
        <v>0</v>
      </c>
    </row>
    <row r="227" spans="1:5" hidden="1" x14ac:dyDescent="0.25">
      <c r="A227" s="890"/>
      <c r="B227" s="883">
        <f t="shared" si="15"/>
        <v>204</v>
      </c>
      <c r="C227" s="908">
        <f t="shared" si="12"/>
        <v>0</v>
      </c>
      <c r="D227" s="908">
        <f t="shared" si="13"/>
        <v>0</v>
      </c>
      <c r="E227" s="978">
        <f t="shared" si="14"/>
        <v>0</v>
      </c>
    </row>
    <row r="228" spans="1:5" hidden="1" x14ac:dyDescent="0.25">
      <c r="A228" s="890"/>
      <c r="B228" s="883">
        <f t="shared" si="15"/>
        <v>205</v>
      </c>
      <c r="C228" s="908">
        <f t="shared" si="12"/>
        <v>0</v>
      </c>
      <c r="D228" s="908">
        <f t="shared" si="13"/>
        <v>0</v>
      </c>
      <c r="E228" s="978">
        <f t="shared" si="14"/>
        <v>0</v>
      </c>
    </row>
    <row r="229" spans="1:5" hidden="1" x14ac:dyDescent="0.25">
      <c r="A229" s="890"/>
      <c r="B229" s="883">
        <f t="shared" si="15"/>
        <v>206</v>
      </c>
      <c r="C229" s="908">
        <f t="shared" si="12"/>
        <v>0</v>
      </c>
      <c r="D229" s="908">
        <f t="shared" si="13"/>
        <v>0</v>
      </c>
      <c r="E229" s="978">
        <f t="shared" si="14"/>
        <v>0</v>
      </c>
    </row>
    <row r="230" spans="1:5" hidden="1" x14ac:dyDescent="0.25">
      <c r="A230" s="890"/>
      <c r="B230" s="883">
        <f t="shared" si="15"/>
        <v>207</v>
      </c>
      <c r="C230" s="908">
        <f t="shared" si="12"/>
        <v>0</v>
      </c>
      <c r="D230" s="908">
        <f t="shared" si="13"/>
        <v>0</v>
      </c>
      <c r="E230" s="978">
        <f t="shared" si="14"/>
        <v>0</v>
      </c>
    </row>
    <row r="231" spans="1:5" hidden="1" x14ac:dyDescent="0.25">
      <c r="A231" s="890"/>
      <c r="B231" s="883">
        <f t="shared" si="15"/>
        <v>208</v>
      </c>
      <c r="C231" s="908">
        <f t="shared" si="12"/>
        <v>0</v>
      </c>
      <c r="D231" s="908">
        <f t="shared" si="13"/>
        <v>0</v>
      </c>
      <c r="E231" s="978">
        <f t="shared" si="14"/>
        <v>0</v>
      </c>
    </row>
    <row r="232" spans="1:5" hidden="1" x14ac:dyDescent="0.25">
      <c r="A232" s="890"/>
      <c r="B232" s="883">
        <f t="shared" si="15"/>
        <v>209</v>
      </c>
      <c r="C232" s="908">
        <f t="shared" si="12"/>
        <v>0</v>
      </c>
      <c r="D232" s="908">
        <f t="shared" si="13"/>
        <v>0</v>
      </c>
      <c r="E232" s="978">
        <f t="shared" si="14"/>
        <v>0</v>
      </c>
    </row>
    <row r="233" spans="1:5" hidden="1" x14ac:dyDescent="0.25">
      <c r="A233" s="890"/>
      <c r="B233" s="883">
        <f t="shared" si="15"/>
        <v>210</v>
      </c>
      <c r="C233" s="908">
        <f t="shared" si="12"/>
        <v>0</v>
      </c>
      <c r="D233" s="908">
        <f t="shared" si="13"/>
        <v>0</v>
      </c>
      <c r="E233" s="978">
        <f t="shared" si="14"/>
        <v>0</v>
      </c>
    </row>
    <row r="234" spans="1:5" hidden="1" x14ac:dyDescent="0.25">
      <c r="A234" s="890"/>
      <c r="B234" s="883">
        <f t="shared" si="15"/>
        <v>211</v>
      </c>
      <c r="C234" s="908">
        <f t="shared" si="12"/>
        <v>0</v>
      </c>
      <c r="D234" s="908">
        <f t="shared" si="13"/>
        <v>0</v>
      </c>
      <c r="E234" s="978">
        <f t="shared" si="14"/>
        <v>0</v>
      </c>
    </row>
    <row r="235" spans="1:5" hidden="1" x14ac:dyDescent="0.25">
      <c r="A235" s="890"/>
      <c r="B235" s="883">
        <f t="shared" si="15"/>
        <v>212</v>
      </c>
      <c r="C235" s="908">
        <f t="shared" si="12"/>
        <v>0</v>
      </c>
      <c r="D235" s="908">
        <f t="shared" si="13"/>
        <v>0</v>
      </c>
      <c r="E235" s="978">
        <f t="shared" si="14"/>
        <v>0</v>
      </c>
    </row>
    <row r="236" spans="1:5" hidden="1" x14ac:dyDescent="0.25">
      <c r="A236" s="890"/>
      <c r="B236" s="883">
        <f t="shared" si="15"/>
        <v>213</v>
      </c>
      <c r="C236" s="908">
        <f t="shared" si="12"/>
        <v>0</v>
      </c>
      <c r="D236" s="908">
        <f t="shared" si="13"/>
        <v>0</v>
      </c>
      <c r="E236" s="978">
        <f t="shared" si="14"/>
        <v>0</v>
      </c>
    </row>
    <row r="237" spans="1:5" hidden="1" x14ac:dyDescent="0.25">
      <c r="A237" s="890"/>
      <c r="B237" s="883">
        <f t="shared" si="15"/>
        <v>214</v>
      </c>
      <c r="C237" s="908">
        <f t="shared" si="12"/>
        <v>0</v>
      </c>
      <c r="D237" s="908">
        <f t="shared" si="13"/>
        <v>0</v>
      </c>
      <c r="E237" s="978">
        <f t="shared" si="14"/>
        <v>0</v>
      </c>
    </row>
    <row r="238" spans="1:5" hidden="1" x14ac:dyDescent="0.25">
      <c r="A238" s="890"/>
      <c r="B238" s="883">
        <f t="shared" si="15"/>
        <v>215</v>
      </c>
      <c r="C238" s="908">
        <f t="shared" si="12"/>
        <v>0</v>
      </c>
      <c r="D238" s="908">
        <f t="shared" si="13"/>
        <v>0</v>
      </c>
      <c r="E238" s="978">
        <f t="shared" si="14"/>
        <v>0</v>
      </c>
    </row>
    <row r="239" spans="1:5" hidden="1" x14ac:dyDescent="0.25">
      <c r="A239" s="890"/>
      <c r="B239" s="883">
        <f t="shared" si="15"/>
        <v>216</v>
      </c>
      <c r="C239" s="908">
        <f t="shared" si="12"/>
        <v>0</v>
      </c>
      <c r="D239" s="908">
        <f t="shared" si="13"/>
        <v>0</v>
      </c>
      <c r="E239" s="978">
        <f t="shared" si="14"/>
        <v>0</v>
      </c>
    </row>
    <row r="240" spans="1:5" hidden="1" x14ac:dyDescent="0.25">
      <c r="A240" s="890"/>
      <c r="B240" s="883">
        <f t="shared" si="15"/>
        <v>217</v>
      </c>
      <c r="C240" s="908">
        <f t="shared" si="12"/>
        <v>0</v>
      </c>
      <c r="D240" s="908">
        <f t="shared" si="13"/>
        <v>0</v>
      </c>
      <c r="E240" s="978">
        <f t="shared" si="14"/>
        <v>0</v>
      </c>
    </row>
    <row r="241" spans="1:5" hidden="1" x14ac:dyDescent="0.25">
      <c r="A241" s="890"/>
      <c r="B241" s="883">
        <f t="shared" si="15"/>
        <v>218</v>
      </c>
      <c r="C241" s="908">
        <f t="shared" si="12"/>
        <v>0</v>
      </c>
      <c r="D241" s="908">
        <f t="shared" si="13"/>
        <v>0</v>
      </c>
      <c r="E241" s="978">
        <f t="shared" si="14"/>
        <v>0</v>
      </c>
    </row>
    <row r="242" spans="1:5" hidden="1" x14ac:dyDescent="0.25">
      <c r="A242" s="890"/>
      <c r="B242" s="883">
        <f t="shared" si="15"/>
        <v>219</v>
      </c>
      <c r="C242" s="908">
        <f t="shared" si="12"/>
        <v>0</v>
      </c>
      <c r="D242" s="908">
        <f t="shared" si="13"/>
        <v>0</v>
      </c>
      <c r="E242" s="978">
        <f t="shared" si="14"/>
        <v>0</v>
      </c>
    </row>
    <row r="243" spans="1:5" hidden="1" x14ac:dyDescent="0.25">
      <c r="A243" s="890"/>
      <c r="B243" s="883">
        <f t="shared" si="15"/>
        <v>220</v>
      </c>
      <c r="C243" s="908">
        <f t="shared" si="12"/>
        <v>0</v>
      </c>
      <c r="D243" s="908">
        <f t="shared" si="13"/>
        <v>0</v>
      </c>
      <c r="E243" s="978">
        <f t="shared" si="14"/>
        <v>0</v>
      </c>
    </row>
    <row r="244" spans="1:5" hidden="1" x14ac:dyDescent="0.25">
      <c r="A244" s="890"/>
      <c r="B244" s="883">
        <f t="shared" si="15"/>
        <v>221</v>
      </c>
      <c r="C244" s="908">
        <f t="shared" si="12"/>
        <v>0</v>
      </c>
      <c r="D244" s="908">
        <f t="shared" si="13"/>
        <v>0</v>
      </c>
      <c r="E244" s="978">
        <f t="shared" si="14"/>
        <v>0</v>
      </c>
    </row>
    <row r="245" spans="1:5" hidden="1" x14ac:dyDescent="0.25">
      <c r="A245" s="890"/>
      <c r="B245" s="883">
        <f t="shared" si="15"/>
        <v>222</v>
      </c>
      <c r="C245" s="908">
        <f t="shared" si="12"/>
        <v>0</v>
      </c>
      <c r="D245" s="908">
        <f t="shared" si="13"/>
        <v>0</v>
      </c>
      <c r="E245" s="978">
        <f t="shared" si="14"/>
        <v>0</v>
      </c>
    </row>
    <row r="246" spans="1:5" hidden="1" x14ac:dyDescent="0.25">
      <c r="A246" s="890"/>
      <c r="B246" s="883">
        <f t="shared" si="15"/>
        <v>223</v>
      </c>
      <c r="C246" s="908">
        <f t="shared" si="12"/>
        <v>0</v>
      </c>
      <c r="D246" s="908">
        <f t="shared" si="13"/>
        <v>0</v>
      </c>
      <c r="E246" s="978">
        <f t="shared" si="14"/>
        <v>0</v>
      </c>
    </row>
    <row r="247" spans="1:5" hidden="1" x14ac:dyDescent="0.25">
      <c r="A247" s="890"/>
      <c r="B247" s="883">
        <f t="shared" si="15"/>
        <v>224</v>
      </c>
      <c r="C247" s="908">
        <f t="shared" si="12"/>
        <v>0</v>
      </c>
      <c r="D247" s="908">
        <f t="shared" si="13"/>
        <v>0</v>
      </c>
      <c r="E247" s="978">
        <f t="shared" si="14"/>
        <v>0</v>
      </c>
    </row>
    <row r="248" spans="1:5" hidden="1" x14ac:dyDescent="0.25">
      <c r="A248" s="890"/>
      <c r="B248" s="883">
        <f t="shared" si="15"/>
        <v>225</v>
      </c>
      <c r="C248" s="908">
        <f t="shared" si="12"/>
        <v>0</v>
      </c>
      <c r="D248" s="908">
        <f t="shared" si="13"/>
        <v>0</v>
      </c>
      <c r="E248" s="978">
        <f t="shared" si="14"/>
        <v>0</v>
      </c>
    </row>
    <row r="249" spans="1:5" hidden="1" x14ac:dyDescent="0.25">
      <c r="A249" s="890"/>
      <c r="B249" s="883">
        <f t="shared" si="15"/>
        <v>226</v>
      </c>
      <c r="C249" s="908">
        <f t="shared" si="12"/>
        <v>0</v>
      </c>
      <c r="D249" s="908">
        <f t="shared" si="13"/>
        <v>0</v>
      </c>
      <c r="E249" s="978">
        <f t="shared" si="14"/>
        <v>0</v>
      </c>
    </row>
    <row r="250" spans="1:5" hidden="1" x14ac:dyDescent="0.25">
      <c r="A250" s="890"/>
      <c r="B250" s="883">
        <f t="shared" si="15"/>
        <v>227</v>
      </c>
      <c r="C250" s="908">
        <f t="shared" si="12"/>
        <v>0</v>
      </c>
      <c r="D250" s="908">
        <f t="shared" si="13"/>
        <v>0</v>
      </c>
      <c r="E250" s="978">
        <f t="shared" si="14"/>
        <v>0</v>
      </c>
    </row>
    <row r="251" spans="1:5" hidden="1" x14ac:dyDescent="0.25">
      <c r="A251" s="890"/>
      <c r="B251" s="883">
        <f t="shared" si="15"/>
        <v>228</v>
      </c>
      <c r="C251" s="908">
        <f t="shared" si="12"/>
        <v>0</v>
      </c>
      <c r="D251" s="908">
        <f t="shared" si="13"/>
        <v>0</v>
      </c>
      <c r="E251" s="978">
        <f t="shared" si="14"/>
        <v>0</v>
      </c>
    </row>
    <row r="252" spans="1:5" hidden="1" x14ac:dyDescent="0.25">
      <c r="A252" s="890"/>
      <c r="B252" s="883">
        <f t="shared" si="15"/>
        <v>229</v>
      </c>
      <c r="C252" s="908">
        <f t="shared" si="12"/>
        <v>0</v>
      </c>
      <c r="D252" s="908">
        <f t="shared" si="13"/>
        <v>0</v>
      </c>
      <c r="E252" s="978">
        <f t="shared" si="14"/>
        <v>0</v>
      </c>
    </row>
    <row r="253" spans="1:5" hidden="1" x14ac:dyDescent="0.25">
      <c r="A253" s="890"/>
      <c r="B253" s="883">
        <f t="shared" si="15"/>
        <v>230</v>
      </c>
      <c r="C253" s="908">
        <f t="shared" si="12"/>
        <v>0</v>
      </c>
      <c r="D253" s="908">
        <f t="shared" si="13"/>
        <v>0</v>
      </c>
      <c r="E253" s="978">
        <f t="shared" si="14"/>
        <v>0</v>
      </c>
    </row>
    <row r="254" spans="1:5" hidden="1" x14ac:dyDescent="0.25">
      <c r="A254" s="890"/>
      <c r="B254" s="883">
        <f t="shared" si="15"/>
        <v>231</v>
      </c>
      <c r="C254" s="908">
        <f t="shared" si="12"/>
        <v>0</v>
      </c>
      <c r="D254" s="908">
        <f t="shared" si="13"/>
        <v>0</v>
      </c>
      <c r="E254" s="978">
        <f t="shared" si="14"/>
        <v>0</v>
      </c>
    </row>
    <row r="255" spans="1:5" hidden="1" x14ac:dyDescent="0.25">
      <c r="A255" s="890"/>
      <c r="B255" s="883">
        <f t="shared" si="15"/>
        <v>232</v>
      </c>
      <c r="C255" s="908">
        <f t="shared" si="12"/>
        <v>0</v>
      </c>
      <c r="D255" s="908">
        <f t="shared" si="13"/>
        <v>0</v>
      </c>
      <c r="E255" s="978">
        <f t="shared" si="14"/>
        <v>0</v>
      </c>
    </row>
    <row r="256" spans="1:5" hidden="1" x14ac:dyDescent="0.25">
      <c r="A256" s="890"/>
      <c r="B256" s="883">
        <f t="shared" si="15"/>
        <v>233</v>
      </c>
      <c r="C256" s="908">
        <f t="shared" si="12"/>
        <v>0</v>
      </c>
      <c r="D256" s="908">
        <f t="shared" si="13"/>
        <v>0</v>
      </c>
      <c r="E256" s="978">
        <f t="shared" si="14"/>
        <v>0</v>
      </c>
    </row>
    <row r="257" spans="1:5" hidden="1" x14ac:dyDescent="0.25">
      <c r="A257" s="890"/>
      <c r="B257" s="883">
        <f t="shared" si="15"/>
        <v>234</v>
      </c>
      <c r="C257" s="908">
        <f t="shared" si="12"/>
        <v>0</v>
      </c>
      <c r="D257" s="908">
        <f t="shared" si="13"/>
        <v>0</v>
      </c>
      <c r="E257" s="978">
        <f t="shared" si="14"/>
        <v>0</v>
      </c>
    </row>
    <row r="258" spans="1:5" hidden="1" x14ac:dyDescent="0.25">
      <c r="A258" s="890"/>
      <c r="B258" s="883">
        <f t="shared" si="15"/>
        <v>235</v>
      </c>
      <c r="C258" s="908">
        <f t="shared" si="12"/>
        <v>0</v>
      </c>
      <c r="D258" s="908">
        <f t="shared" si="13"/>
        <v>0</v>
      </c>
      <c r="E258" s="978">
        <f t="shared" si="14"/>
        <v>0</v>
      </c>
    </row>
    <row r="259" spans="1:5" hidden="1" x14ac:dyDescent="0.25">
      <c r="A259" s="890"/>
      <c r="B259" s="883">
        <f t="shared" si="15"/>
        <v>236</v>
      </c>
      <c r="C259" s="908">
        <f t="shared" si="12"/>
        <v>0</v>
      </c>
      <c r="D259" s="908">
        <f t="shared" si="13"/>
        <v>0</v>
      </c>
      <c r="E259" s="978">
        <f t="shared" si="14"/>
        <v>0</v>
      </c>
    </row>
    <row r="260" spans="1:5" hidden="1" x14ac:dyDescent="0.25">
      <c r="A260" s="890"/>
      <c r="B260" s="883">
        <f t="shared" si="15"/>
        <v>237</v>
      </c>
      <c r="C260" s="908">
        <f t="shared" si="12"/>
        <v>0</v>
      </c>
      <c r="D260" s="908">
        <f t="shared" si="13"/>
        <v>0</v>
      </c>
      <c r="E260" s="978">
        <f t="shared" si="14"/>
        <v>0</v>
      </c>
    </row>
    <row r="261" spans="1:5" hidden="1" x14ac:dyDescent="0.25">
      <c r="A261" s="890"/>
      <c r="B261" s="883">
        <f t="shared" si="15"/>
        <v>238</v>
      </c>
      <c r="C261" s="908">
        <f t="shared" si="12"/>
        <v>0</v>
      </c>
      <c r="D261" s="908">
        <f t="shared" si="13"/>
        <v>0</v>
      </c>
      <c r="E261" s="978">
        <f t="shared" si="14"/>
        <v>0</v>
      </c>
    </row>
    <row r="262" spans="1:5" hidden="1" x14ac:dyDescent="0.25">
      <c r="A262" s="890"/>
      <c r="B262" s="883">
        <f t="shared" si="15"/>
        <v>239</v>
      </c>
      <c r="C262" s="908">
        <f t="shared" si="12"/>
        <v>0</v>
      </c>
      <c r="D262" s="908">
        <f t="shared" si="13"/>
        <v>0</v>
      </c>
      <c r="E262" s="978">
        <f t="shared" si="14"/>
        <v>0</v>
      </c>
    </row>
    <row r="263" spans="1:5" hidden="1" x14ac:dyDescent="0.25">
      <c r="A263" s="890"/>
      <c r="B263" s="883">
        <f t="shared" si="15"/>
        <v>240</v>
      </c>
      <c r="C263" s="908" t="str">
        <f t="shared" si="12"/>
        <v/>
      </c>
      <c r="D263" s="908" t="str">
        <f t="shared" si="13"/>
        <v/>
      </c>
      <c r="E263" s="978" t="str">
        <f t="shared" si="14"/>
        <v/>
      </c>
    </row>
    <row r="264" spans="1:5" hidden="1" x14ac:dyDescent="0.25">
      <c r="A264" s="890"/>
      <c r="B264" s="883">
        <f t="shared" si="15"/>
        <v>241</v>
      </c>
      <c r="C264" s="908" t="str">
        <f t="shared" si="12"/>
        <v/>
      </c>
      <c r="D264" s="908" t="str">
        <f t="shared" si="13"/>
        <v/>
      </c>
      <c r="E264" s="978" t="str">
        <f t="shared" si="14"/>
        <v/>
      </c>
    </row>
    <row r="265" spans="1:5" hidden="1" x14ac:dyDescent="0.25">
      <c r="A265" s="890"/>
      <c r="B265" s="883">
        <f t="shared" si="15"/>
        <v>242</v>
      </c>
      <c r="C265" s="908" t="str">
        <f t="shared" si="12"/>
        <v/>
      </c>
      <c r="D265" s="908" t="str">
        <f t="shared" si="13"/>
        <v/>
      </c>
      <c r="E265" s="978" t="str">
        <f t="shared" si="14"/>
        <v/>
      </c>
    </row>
    <row r="266" spans="1:5" hidden="1" x14ac:dyDescent="0.25">
      <c r="A266" s="890"/>
      <c r="B266" s="883">
        <f t="shared" si="15"/>
        <v>243</v>
      </c>
      <c r="C266" s="908" t="str">
        <f t="shared" si="12"/>
        <v/>
      </c>
      <c r="D266" s="908" t="str">
        <f t="shared" si="13"/>
        <v/>
      </c>
      <c r="E266" s="978" t="str">
        <f t="shared" si="14"/>
        <v/>
      </c>
    </row>
    <row r="267" spans="1:5" hidden="1" x14ac:dyDescent="0.25">
      <c r="A267" s="890"/>
      <c r="B267" s="883">
        <f t="shared" si="15"/>
        <v>244</v>
      </c>
      <c r="C267" s="908" t="str">
        <f t="shared" si="12"/>
        <v/>
      </c>
      <c r="D267" s="908" t="str">
        <f t="shared" si="13"/>
        <v/>
      </c>
      <c r="E267" s="978" t="str">
        <f t="shared" si="14"/>
        <v/>
      </c>
    </row>
    <row r="268" spans="1:5" hidden="1" x14ac:dyDescent="0.25">
      <c r="A268" s="890"/>
      <c r="B268" s="883">
        <f t="shared" si="15"/>
        <v>245</v>
      </c>
      <c r="C268" s="908" t="str">
        <f t="shared" ref="C268:C331" si="16">IF($B268&gt;$C$11*12,"",IF(AND($C$11&gt;$D$11,B268&gt;=$D$11*12),"",C$19))</f>
        <v/>
      </c>
      <c r="D268" s="908" t="str">
        <f t="shared" ref="D268:D331" si="17">IF($B268&gt;$C$11*12,"",IF(AND($C$11&gt;$D$11,B268&gt;=$D$11*12),"",D$19))</f>
        <v/>
      </c>
      <c r="E268" s="978" t="str">
        <f t="shared" ref="E268:E331" si="18">IF($B268&gt;$C$11*12,"",IF(AND($C$11&gt;$D$11,B268&gt;=$D$11*12),"",E$19))</f>
        <v/>
      </c>
    </row>
    <row r="269" spans="1:5" hidden="1" x14ac:dyDescent="0.25">
      <c r="A269" s="890"/>
      <c r="B269" s="883">
        <f t="shared" si="15"/>
        <v>246</v>
      </c>
      <c r="C269" s="908" t="str">
        <f t="shared" si="16"/>
        <v/>
      </c>
      <c r="D269" s="908" t="str">
        <f t="shared" si="17"/>
        <v/>
      </c>
      <c r="E269" s="978" t="str">
        <f t="shared" si="18"/>
        <v/>
      </c>
    </row>
    <row r="270" spans="1:5" hidden="1" x14ac:dyDescent="0.25">
      <c r="A270" s="890"/>
      <c r="B270" s="883">
        <f t="shared" si="15"/>
        <v>247</v>
      </c>
      <c r="C270" s="908" t="str">
        <f t="shared" si="16"/>
        <v/>
      </c>
      <c r="D270" s="908" t="str">
        <f t="shared" si="17"/>
        <v/>
      </c>
      <c r="E270" s="978" t="str">
        <f t="shared" si="18"/>
        <v/>
      </c>
    </row>
    <row r="271" spans="1:5" hidden="1" x14ac:dyDescent="0.25">
      <c r="A271" s="890"/>
      <c r="B271" s="883">
        <f t="shared" si="15"/>
        <v>248</v>
      </c>
      <c r="C271" s="908" t="str">
        <f t="shared" si="16"/>
        <v/>
      </c>
      <c r="D271" s="908" t="str">
        <f t="shared" si="17"/>
        <v/>
      </c>
      <c r="E271" s="978" t="str">
        <f t="shared" si="18"/>
        <v/>
      </c>
    </row>
    <row r="272" spans="1:5" hidden="1" x14ac:dyDescent="0.25">
      <c r="A272" s="890"/>
      <c r="B272" s="883">
        <f t="shared" si="15"/>
        <v>249</v>
      </c>
      <c r="C272" s="908" t="str">
        <f t="shared" si="16"/>
        <v/>
      </c>
      <c r="D272" s="908" t="str">
        <f t="shared" si="17"/>
        <v/>
      </c>
      <c r="E272" s="978" t="str">
        <f t="shared" si="18"/>
        <v/>
      </c>
    </row>
    <row r="273" spans="1:5" hidden="1" x14ac:dyDescent="0.25">
      <c r="A273" s="890"/>
      <c r="B273" s="883">
        <f t="shared" si="15"/>
        <v>250</v>
      </c>
      <c r="C273" s="908" t="str">
        <f t="shared" si="16"/>
        <v/>
      </c>
      <c r="D273" s="908" t="str">
        <f t="shared" si="17"/>
        <v/>
      </c>
      <c r="E273" s="978" t="str">
        <f t="shared" si="18"/>
        <v/>
      </c>
    </row>
    <row r="274" spans="1:5" hidden="1" x14ac:dyDescent="0.25">
      <c r="A274" s="890"/>
      <c r="B274" s="883">
        <f t="shared" si="15"/>
        <v>251</v>
      </c>
      <c r="C274" s="908" t="str">
        <f t="shared" si="16"/>
        <v/>
      </c>
      <c r="D274" s="908" t="str">
        <f t="shared" si="17"/>
        <v/>
      </c>
      <c r="E274" s="978" t="str">
        <f t="shared" si="18"/>
        <v/>
      </c>
    </row>
    <row r="275" spans="1:5" hidden="1" x14ac:dyDescent="0.25">
      <c r="A275" s="890"/>
      <c r="B275" s="883">
        <f t="shared" si="15"/>
        <v>252</v>
      </c>
      <c r="C275" s="908" t="str">
        <f t="shared" si="16"/>
        <v/>
      </c>
      <c r="D275" s="908" t="str">
        <f t="shared" si="17"/>
        <v/>
      </c>
      <c r="E275" s="978" t="str">
        <f t="shared" si="18"/>
        <v/>
      </c>
    </row>
    <row r="276" spans="1:5" hidden="1" x14ac:dyDescent="0.25">
      <c r="A276" s="890"/>
      <c r="B276" s="883">
        <f t="shared" si="15"/>
        <v>253</v>
      </c>
      <c r="C276" s="908" t="str">
        <f t="shared" si="16"/>
        <v/>
      </c>
      <c r="D276" s="908" t="str">
        <f t="shared" si="17"/>
        <v/>
      </c>
      <c r="E276" s="978" t="str">
        <f t="shared" si="18"/>
        <v/>
      </c>
    </row>
    <row r="277" spans="1:5" hidden="1" x14ac:dyDescent="0.25">
      <c r="A277" s="890"/>
      <c r="B277" s="883">
        <f t="shared" si="15"/>
        <v>254</v>
      </c>
      <c r="C277" s="908" t="str">
        <f t="shared" si="16"/>
        <v/>
      </c>
      <c r="D277" s="908" t="str">
        <f t="shared" si="17"/>
        <v/>
      </c>
      <c r="E277" s="978" t="str">
        <f t="shared" si="18"/>
        <v/>
      </c>
    </row>
    <row r="278" spans="1:5" hidden="1" x14ac:dyDescent="0.25">
      <c r="A278" s="890"/>
      <c r="B278" s="883">
        <f t="shared" si="15"/>
        <v>255</v>
      </c>
      <c r="C278" s="908" t="str">
        <f t="shared" si="16"/>
        <v/>
      </c>
      <c r="D278" s="908" t="str">
        <f t="shared" si="17"/>
        <v/>
      </c>
      <c r="E278" s="978" t="str">
        <f t="shared" si="18"/>
        <v/>
      </c>
    </row>
    <row r="279" spans="1:5" hidden="1" x14ac:dyDescent="0.25">
      <c r="A279" s="890"/>
      <c r="B279" s="883">
        <f t="shared" si="15"/>
        <v>256</v>
      </c>
      <c r="C279" s="908" t="str">
        <f t="shared" si="16"/>
        <v/>
      </c>
      <c r="D279" s="908" t="str">
        <f t="shared" si="17"/>
        <v/>
      </c>
      <c r="E279" s="978" t="str">
        <f t="shared" si="18"/>
        <v/>
      </c>
    </row>
    <row r="280" spans="1:5" hidden="1" x14ac:dyDescent="0.25">
      <c r="A280" s="890"/>
      <c r="B280" s="883">
        <f t="shared" si="15"/>
        <v>257</v>
      </c>
      <c r="C280" s="908" t="str">
        <f t="shared" si="16"/>
        <v/>
      </c>
      <c r="D280" s="908" t="str">
        <f t="shared" si="17"/>
        <v/>
      </c>
      <c r="E280" s="978" t="str">
        <f t="shared" si="18"/>
        <v/>
      </c>
    </row>
    <row r="281" spans="1:5" hidden="1" x14ac:dyDescent="0.25">
      <c r="A281" s="890"/>
      <c r="B281" s="883">
        <f t="shared" si="15"/>
        <v>258</v>
      </c>
      <c r="C281" s="908" t="str">
        <f t="shared" si="16"/>
        <v/>
      </c>
      <c r="D281" s="908" t="str">
        <f t="shared" si="17"/>
        <v/>
      </c>
      <c r="E281" s="978" t="str">
        <f t="shared" si="18"/>
        <v/>
      </c>
    </row>
    <row r="282" spans="1:5" hidden="1" x14ac:dyDescent="0.25">
      <c r="A282" s="890"/>
      <c r="B282" s="883">
        <f t="shared" ref="B282:B345" si="19">B281+1</f>
        <v>259</v>
      </c>
      <c r="C282" s="908" t="str">
        <f t="shared" si="16"/>
        <v/>
      </c>
      <c r="D282" s="908" t="str">
        <f t="shared" si="17"/>
        <v/>
      </c>
      <c r="E282" s="978" t="str">
        <f t="shared" si="18"/>
        <v/>
      </c>
    </row>
    <row r="283" spans="1:5" hidden="1" x14ac:dyDescent="0.25">
      <c r="A283" s="890"/>
      <c r="B283" s="883">
        <f t="shared" si="19"/>
        <v>260</v>
      </c>
      <c r="C283" s="908" t="str">
        <f t="shared" si="16"/>
        <v/>
      </c>
      <c r="D283" s="908" t="str">
        <f t="shared" si="17"/>
        <v/>
      </c>
      <c r="E283" s="978" t="str">
        <f t="shared" si="18"/>
        <v/>
      </c>
    </row>
    <row r="284" spans="1:5" hidden="1" x14ac:dyDescent="0.25">
      <c r="A284" s="890"/>
      <c r="B284" s="883">
        <f t="shared" si="19"/>
        <v>261</v>
      </c>
      <c r="C284" s="908" t="str">
        <f t="shared" si="16"/>
        <v/>
      </c>
      <c r="D284" s="908" t="str">
        <f t="shared" si="17"/>
        <v/>
      </c>
      <c r="E284" s="978" t="str">
        <f t="shared" si="18"/>
        <v/>
      </c>
    </row>
    <row r="285" spans="1:5" hidden="1" x14ac:dyDescent="0.25">
      <c r="A285" s="890"/>
      <c r="B285" s="883">
        <f t="shared" si="19"/>
        <v>262</v>
      </c>
      <c r="C285" s="908" t="str">
        <f t="shared" si="16"/>
        <v/>
      </c>
      <c r="D285" s="908" t="str">
        <f t="shared" si="17"/>
        <v/>
      </c>
      <c r="E285" s="978" t="str">
        <f t="shared" si="18"/>
        <v/>
      </c>
    </row>
    <row r="286" spans="1:5" hidden="1" x14ac:dyDescent="0.25">
      <c r="A286" s="890"/>
      <c r="B286" s="883">
        <f t="shared" si="19"/>
        <v>263</v>
      </c>
      <c r="C286" s="908" t="str">
        <f t="shared" si="16"/>
        <v/>
      </c>
      <c r="D286" s="908" t="str">
        <f t="shared" si="17"/>
        <v/>
      </c>
      <c r="E286" s="978" t="str">
        <f t="shared" si="18"/>
        <v/>
      </c>
    </row>
    <row r="287" spans="1:5" hidden="1" x14ac:dyDescent="0.25">
      <c r="A287" s="890"/>
      <c r="B287" s="883">
        <f t="shared" si="19"/>
        <v>264</v>
      </c>
      <c r="C287" s="908" t="str">
        <f t="shared" si="16"/>
        <v/>
      </c>
      <c r="D287" s="908" t="str">
        <f t="shared" si="17"/>
        <v/>
      </c>
      <c r="E287" s="978" t="str">
        <f t="shared" si="18"/>
        <v/>
      </c>
    </row>
    <row r="288" spans="1:5" hidden="1" x14ac:dyDescent="0.25">
      <c r="A288" s="890"/>
      <c r="B288" s="883">
        <f t="shared" si="19"/>
        <v>265</v>
      </c>
      <c r="C288" s="908" t="str">
        <f t="shared" si="16"/>
        <v/>
      </c>
      <c r="D288" s="908" t="str">
        <f t="shared" si="17"/>
        <v/>
      </c>
      <c r="E288" s="978" t="str">
        <f t="shared" si="18"/>
        <v/>
      </c>
    </row>
    <row r="289" spans="1:5" hidden="1" x14ac:dyDescent="0.25">
      <c r="A289" s="890"/>
      <c r="B289" s="883">
        <f t="shared" si="19"/>
        <v>266</v>
      </c>
      <c r="C289" s="908" t="str">
        <f t="shared" si="16"/>
        <v/>
      </c>
      <c r="D289" s="908" t="str">
        <f t="shared" si="17"/>
        <v/>
      </c>
      <c r="E289" s="978" t="str">
        <f t="shared" si="18"/>
        <v/>
      </c>
    </row>
    <row r="290" spans="1:5" hidden="1" x14ac:dyDescent="0.25">
      <c r="A290" s="890"/>
      <c r="B290" s="883">
        <f t="shared" si="19"/>
        <v>267</v>
      </c>
      <c r="C290" s="908" t="str">
        <f t="shared" si="16"/>
        <v/>
      </c>
      <c r="D290" s="908" t="str">
        <f t="shared" si="17"/>
        <v/>
      </c>
      <c r="E290" s="978" t="str">
        <f t="shared" si="18"/>
        <v/>
      </c>
    </row>
    <row r="291" spans="1:5" hidden="1" x14ac:dyDescent="0.25">
      <c r="A291" s="890"/>
      <c r="B291" s="883">
        <f t="shared" si="19"/>
        <v>268</v>
      </c>
      <c r="C291" s="908" t="str">
        <f t="shared" si="16"/>
        <v/>
      </c>
      <c r="D291" s="908" t="str">
        <f t="shared" si="17"/>
        <v/>
      </c>
      <c r="E291" s="978" t="str">
        <f t="shared" si="18"/>
        <v/>
      </c>
    </row>
    <row r="292" spans="1:5" hidden="1" x14ac:dyDescent="0.25">
      <c r="A292" s="890"/>
      <c r="B292" s="883">
        <f t="shared" si="19"/>
        <v>269</v>
      </c>
      <c r="C292" s="908" t="str">
        <f t="shared" si="16"/>
        <v/>
      </c>
      <c r="D292" s="908" t="str">
        <f t="shared" si="17"/>
        <v/>
      </c>
      <c r="E292" s="978" t="str">
        <f t="shared" si="18"/>
        <v/>
      </c>
    </row>
    <row r="293" spans="1:5" hidden="1" x14ac:dyDescent="0.25">
      <c r="A293" s="890"/>
      <c r="B293" s="883">
        <f t="shared" si="19"/>
        <v>270</v>
      </c>
      <c r="C293" s="908" t="str">
        <f t="shared" si="16"/>
        <v/>
      </c>
      <c r="D293" s="908" t="str">
        <f t="shared" si="17"/>
        <v/>
      </c>
      <c r="E293" s="978" t="str">
        <f t="shared" si="18"/>
        <v/>
      </c>
    </row>
    <row r="294" spans="1:5" hidden="1" x14ac:dyDescent="0.25">
      <c r="A294" s="890"/>
      <c r="B294" s="883">
        <f t="shared" si="19"/>
        <v>271</v>
      </c>
      <c r="C294" s="908" t="str">
        <f t="shared" si="16"/>
        <v/>
      </c>
      <c r="D294" s="908" t="str">
        <f t="shared" si="17"/>
        <v/>
      </c>
      <c r="E294" s="978" t="str">
        <f t="shared" si="18"/>
        <v/>
      </c>
    </row>
    <row r="295" spans="1:5" hidden="1" x14ac:dyDescent="0.25">
      <c r="A295" s="890"/>
      <c r="B295" s="883">
        <f t="shared" si="19"/>
        <v>272</v>
      </c>
      <c r="C295" s="908" t="str">
        <f t="shared" si="16"/>
        <v/>
      </c>
      <c r="D295" s="908" t="str">
        <f t="shared" si="17"/>
        <v/>
      </c>
      <c r="E295" s="978" t="str">
        <f t="shared" si="18"/>
        <v/>
      </c>
    </row>
    <row r="296" spans="1:5" hidden="1" x14ac:dyDescent="0.25">
      <c r="A296" s="890"/>
      <c r="B296" s="883">
        <f t="shared" si="19"/>
        <v>273</v>
      </c>
      <c r="C296" s="908" t="str">
        <f t="shared" si="16"/>
        <v/>
      </c>
      <c r="D296" s="908" t="str">
        <f t="shared" si="17"/>
        <v/>
      </c>
      <c r="E296" s="978" t="str">
        <f t="shared" si="18"/>
        <v/>
      </c>
    </row>
    <row r="297" spans="1:5" hidden="1" x14ac:dyDescent="0.25">
      <c r="A297" s="890"/>
      <c r="B297" s="883">
        <f t="shared" si="19"/>
        <v>274</v>
      </c>
      <c r="C297" s="908" t="str">
        <f t="shared" si="16"/>
        <v/>
      </c>
      <c r="D297" s="908" t="str">
        <f t="shared" si="17"/>
        <v/>
      </c>
      <c r="E297" s="978" t="str">
        <f t="shared" si="18"/>
        <v/>
      </c>
    </row>
    <row r="298" spans="1:5" hidden="1" x14ac:dyDescent="0.25">
      <c r="A298" s="890"/>
      <c r="B298" s="883">
        <f t="shared" si="19"/>
        <v>275</v>
      </c>
      <c r="C298" s="908" t="str">
        <f t="shared" si="16"/>
        <v/>
      </c>
      <c r="D298" s="908" t="str">
        <f t="shared" si="17"/>
        <v/>
      </c>
      <c r="E298" s="978" t="str">
        <f t="shared" si="18"/>
        <v/>
      </c>
    </row>
    <row r="299" spans="1:5" hidden="1" x14ac:dyDescent="0.25">
      <c r="A299" s="890"/>
      <c r="B299" s="883">
        <f t="shared" si="19"/>
        <v>276</v>
      </c>
      <c r="C299" s="908" t="str">
        <f t="shared" si="16"/>
        <v/>
      </c>
      <c r="D299" s="908" t="str">
        <f t="shared" si="17"/>
        <v/>
      </c>
      <c r="E299" s="978" t="str">
        <f t="shared" si="18"/>
        <v/>
      </c>
    </row>
    <row r="300" spans="1:5" hidden="1" x14ac:dyDescent="0.25">
      <c r="A300" s="890"/>
      <c r="B300" s="883">
        <f t="shared" si="19"/>
        <v>277</v>
      </c>
      <c r="C300" s="908" t="str">
        <f t="shared" si="16"/>
        <v/>
      </c>
      <c r="D300" s="908" t="str">
        <f t="shared" si="17"/>
        <v/>
      </c>
      <c r="E300" s="978" t="str">
        <f t="shared" si="18"/>
        <v/>
      </c>
    </row>
    <row r="301" spans="1:5" hidden="1" x14ac:dyDescent="0.25">
      <c r="A301" s="890"/>
      <c r="B301" s="883">
        <f t="shared" si="19"/>
        <v>278</v>
      </c>
      <c r="C301" s="908" t="str">
        <f t="shared" si="16"/>
        <v/>
      </c>
      <c r="D301" s="908" t="str">
        <f t="shared" si="17"/>
        <v/>
      </c>
      <c r="E301" s="978" t="str">
        <f t="shared" si="18"/>
        <v/>
      </c>
    </row>
    <row r="302" spans="1:5" hidden="1" x14ac:dyDescent="0.25">
      <c r="A302" s="890"/>
      <c r="B302" s="883">
        <f t="shared" si="19"/>
        <v>279</v>
      </c>
      <c r="C302" s="908" t="str">
        <f t="shared" si="16"/>
        <v/>
      </c>
      <c r="D302" s="908" t="str">
        <f t="shared" si="17"/>
        <v/>
      </c>
      <c r="E302" s="978" t="str">
        <f t="shared" si="18"/>
        <v/>
      </c>
    </row>
    <row r="303" spans="1:5" hidden="1" x14ac:dyDescent="0.25">
      <c r="A303" s="890"/>
      <c r="B303" s="883">
        <f t="shared" si="19"/>
        <v>280</v>
      </c>
      <c r="C303" s="908" t="str">
        <f t="shared" si="16"/>
        <v/>
      </c>
      <c r="D303" s="908" t="str">
        <f t="shared" si="17"/>
        <v/>
      </c>
      <c r="E303" s="978" t="str">
        <f t="shared" si="18"/>
        <v/>
      </c>
    </row>
    <row r="304" spans="1:5" hidden="1" x14ac:dyDescent="0.25">
      <c r="A304" s="890"/>
      <c r="B304" s="883">
        <f t="shared" si="19"/>
        <v>281</v>
      </c>
      <c r="C304" s="908" t="str">
        <f t="shared" si="16"/>
        <v/>
      </c>
      <c r="D304" s="908" t="str">
        <f t="shared" si="17"/>
        <v/>
      </c>
      <c r="E304" s="978" t="str">
        <f t="shared" si="18"/>
        <v/>
      </c>
    </row>
    <row r="305" spans="1:5" hidden="1" x14ac:dyDescent="0.25">
      <c r="A305" s="890"/>
      <c r="B305" s="883">
        <f t="shared" si="19"/>
        <v>282</v>
      </c>
      <c r="C305" s="908" t="str">
        <f t="shared" si="16"/>
        <v/>
      </c>
      <c r="D305" s="908" t="str">
        <f t="shared" si="17"/>
        <v/>
      </c>
      <c r="E305" s="978" t="str">
        <f t="shared" si="18"/>
        <v/>
      </c>
    </row>
    <row r="306" spans="1:5" hidden="1" x14ac:dyDescent="0.25">
      <c r="A306" s="890"/>
      <c r="B306" s="883">
        <f t="shared" si="19"/>
        <v>283</v>
      </c>
      <c r="C306" s="908" t="str">
        <f t="shared" si="16"/>
        <v/>
      </c>
      <c r="D306" s="908" t="str">
        <f t="shared" si="17"/>
        <v/>
      </c>
      <c r="E306" s="978" t="str">
        <f t="shared" si="18"/>
        <v/>
      </c>
    </row>
    <row r="307" spans="1:5" hidden="1" x14ac:dyDescent="0.25">
      <c r="A307" s="890"/>
      <c r="B307" s="883">
        <f t="shared" si="19"/>
        <v>284</v>
      </c>
      <c r="C307" s="908" t="str">
        <f t="shared" si="16"/>
        <v/>
      </c>
      <c r="D307" s="908" t="str">
        <f t="shared" si="17"/>
        <v/>
      </c>
      <c r="E307" s="978" t="str">
        <f t="shared" si="18"/>
        <v/>
      </c>
    </row>
    <row r="308" spans="1:5" hidden="1" x14ac:dyDescent="0.25">
      <c r="A308" s="890"/>
      <c r="B308" s="883">
        <f t="shared" si="19"/>
        <v>285</v>
      </c>
      <c r="C308" s="908" t="str">
        <f t="shared" si="16"/>
        <v/>
      </c>
      <c r="D308" s="908" t="str">
        <f t="shared" si="17"/>
        <v/>
      </c>
      <c r="E308" s="978" t="str">
        <f t="shared" si="18"/>
        <v/>
      </c>
    </row>
    <row r="309" spans="1:5" hidden="1" x14ac:dyDescent="0.25">
      <c r="A309" s="890"/>
      <c r="B309" s="883">
        <f t="shared" si="19"/>
        <v>286</v>
      </c>
      <c r="C309" s="908" t="str">
        <f t="shared" si="16"/>
        <v/>
      </c>
      <c r="D309" s="908" t="str">
        <f t="shared" si="17"/>
        <v/>
      </c>
      <c r="E309" s="978" t="str">
        <f t="shared" si="18"/>
        <v/>
      </c>
    </row>
    <row r="310" spans="1:5" hidden="1" x14ac:dyDescent="0.25">
      <c r="A310" s="890"/>
      <c r="B310" s="883">
        <f t="shared" si="19"/>
        <v>287</v>
      </c>
      <c r="C310" s="908" t="str">
        <f t="shared" si="16"/>
        <v/>
      </c>
      <c r="D310" s="908" t="str">
        <f t="shared" si="17"/>
        <v/>
      </c>
      <c r="E310" s="978" t="str">
        <f t="shared" si="18"/>
        <v/>
      </c>
    </row>
    <row r="311" spans="1:5" hidden="1" x14ac:dyDescent="0.25">
      <c r="A311" s="890"/>
      <c r="B311" s="883">
        <f t="shared" si="19"/>
        <v>288</v>
      </c>
      <c r="C311" s="908" t="str">
        <f t="shared" si="16"/>
        <v/>
      </c>
      <c r="D311" s="908" t="str">
        <f t="shared" si="17"/>
        <v/>
      </c>
      <c r="E311" s="978" t="str">
        <f t="shared" si="18"/>
        <v/>
      </c>
    </row>
    <row r="312" spans="1:5" hidden="1" x14ac:dyDescent="0.25">
      <c r="A312" s="890"/>
      <c r="B312" s="883">
        <f t="shared" si="19"/>
        <v>289</v>
      </c>
      <c r="C312" s="908" t="str">
        <f t="shared" si="16"/>
        <v/>
      </c>
      <c r="D312" s="908" t="str">
        <f t="shared" si="17"/>
        <v/>
      </c>
      <c r="E312" s="978" t="str">
        <f t="shared" si="18"/>
        <v/>
      </c>
    </row>
    <row r="313" spans="1:5" hidden="1" x14ac:dyDescent="0.25">
      <c r="A313" s="890"/>
      <c r="B313" s="883">
        <f t="shared" si="19"/>
        <v>290</v>
      </c>
      <c r="C313" s="908" t="str">
        <f t="shared" si="16"/>
        <v/>
      </c>
      <c r="D313" s="908" t="str">
        <f t="shared" si="17"/>
        <v/>
      </c>
      <c r="E313" s="978" t="str">
        <f t="shared" si="18"/>
        <v/>
      </c>
    </row>
    <row r="314" spans="1:5" hidden="1" x14ac:dyDescent="0.25">
      <c r="A314" s="890"/>
      <c r="B314" s="883">
        <f t="shared" si="19"/>
        <v>291</v>
      </c>
      <c r="C314" s="908" t="str">
        <f t="shared" si="16"/>
        <v/>
      </c>
      <c r="D314" s="908" t="str">
        <f t="shared" si="17"/>
        <v/>
      </c>
      <c r="E314" s="978" t="str">
        <f t="shared" si="18"/>
        <v/>
      </c>
    </row>
    <row r="315" spans="1:5" hidden="1" x14ac:dyDescent="0.25">
      <c r="A315" s="890"/>
      <c r="B315" s="883">
        <f t="shared" si="19"/>
        <v>292</v>
      </c>
      <c r="C315" s="908" t="str">
        <f t="shared" si="16"/>
        <v/>
      </c>
      <c r="D315" s="908" t="str">
        <f t="shared" si="17"/>
        <v/>
      </c>
      <c r="E315" s="978" t="str">
        <f t="shared" si="18"/>
        <v/>
      </c>
    </row>
    <row r="316" spans="1:5" hidden="1" x14ac:dyDescent="0.25">
      <c r="A316" s="890"/>
      <c r="B316" s="883">
        <f t="shared" si="19"/>
        <v>293</v>
      </c>
      <c r="C316" s="908" t="str">
        <f t="shared" si="16"/>
        <v/>
      </c>
      <c r="D316" s="908" t="str">
        <f t="shared" si="17"/>
        <v/>
      </c>
      <c r="E316" s="978" t="str">
        <f t="shared" si="18"/>
        <v/>
      </c>
    </row>
    <row r="317" spans="1:5" hidden="1" x14ac:dyDescent="0.25">
      <c r="A317" s="890"/>
      <c r="B317" s="883">
        <f t="shared" si="19"/>
        <v>294</v>
      </c>
      <c r="C317" s="908" t="str">
        <f t="shared" si="16"/>
        <v/>
      </c>
      <c r="D317" s="908" t="str">
        <f t="shared" si="17"/>
        <v/>
      </c>
      <c r="E317" s="978" t="str">
        <f t="shared" si="18"/>
        <v/>
      </c>
    </row>
    <row r="318" spans="1:5" hidden="1" x14ac:dyDescent="0.25">
      <c r="A318" s="890"/>
      <c r="B318" s="883">
        <f t="shared" si="19"/>
        <v>295</v>
      </c>
      <c r="C318" s="908" t="str">
        <f t="shared" si="16"/>
        <v/>
      </c>
      <c r="D318" s="908" t="str">
        <f t="shared" si="17"/>
        <v/>
      </c>
      <c r="E318" s="978" t="str">
        <f t="shared" si="18"/>
        <v/>
      </c>
    </row>
    <row r="319" spans="1:5" hidden="1" x14ac:dyDescent="0.25">
      <c r="A319" s="890"/>
      <c r="B319" s="883">
        <f t="shared" si="19"/>
        <v>296</v>
      </c>
      <c r="C319" s="908" t="str">
        <f t="shared" si="16"/>
        <v/>
      </c>
      <c r="D319" s="908" t="str">
        <f t="shared" si="17"/>
        <v/>
      </c>
      <c r="E319" s="978" t="str">
        <f t="shared" si="18"/>
        <v/>
      </c>
    </row>
    <row r="320" spans="1:5" hidden="1" x14ac:dyDescent="0.25">
      <c r="A320" s="890"/>
      <c r="B320" s="883">
        <f t="shared" si="19"/>
        <v>297</v>
      </c>
      <c r="C320" s="908" t="str">
        <f t="shared" si="16"/>
        <v/>
      </c>
      <c r="D320" s="908" t="str">
        <f t="shared" si="17"/>
        <v/>
      </c>
      <c r="E320" s="978" t="str">
        <f t="shared" si="18"/>
        <v/>
      </c>
    </row>
    <row r="321" spans="1:11" hidden="1" x14ac:dyDescent="0.25">
      <c r="A321" s="890"/>
      <c r="B321" s="883">
        <f t="shared" si="19"/>
        <v>298</v>
      </c>
      <c r="C321" s="908" t="str">
        <f t="shared" si="16"/>
        <v/>
      </c>
      <c r="D321" s="908" t="str">
        <f t="shared" si="17"/>
        <v/>
      </c>
      <c r="E321" s="978" t="str">
        <f t="shared" si="18"/>
        <v/>
      </c>
    </row>
    <row r="322" spans="1:11" hidden="1" x14ac:dyDescent="0.25">
      <c r="A322" s="890"/>
      <c r="B322" s="883">
        <f t="shared" si="19"/>
        <v>299</v>
      </c>
      <c r="C322" s="908" t="str">
        <f t="shared" si="16"/>
        <v/>
      </c>
      <c r="D322" s="908" t="str">
        <f t="shared" si="17"/>
        <v/>
      </c>
      <c r="E322" s="978" t="str">
        <f t="shared" si="18"/>
        <v/>
      </c>
    </row>
    <row r="323" spans="1:11" hidden="1" x14ac:dyDescent="0.25">
      <c r="A323" s="890"/>
      <c r="B323" s="883">
        <f>B322+1</f>
        <v>300</v>
      </c>
      <c r="C323" s="908" t="str">
        <f t="shared" si="16"/>
        <v/>
      </c>
      <c r="D323" s="908" t="str">
        <f t="shared" si="17"/>
        <v/>
      </c>
      <c r="E323" s="978" t="str">
        <f t="shared" si="18"/>
        <v/>
      </c>
    </row>
    <row r="324" spans="1:11" hidden="1" x14ac:dyDescent="0.25">
      <c r="A324" s="890"/>
      <c r="B324" s="883">
        <f t="shared" si="19"/>
        <v>301</v>
      </c>
      <c r="C324" s="908" t="str">
        <f t="shared" si="16"/>
        <v/>
      </c>
      <c r="D324" s="908" t="str">
        <f t="shared" si="17"/>
        <v/>
      </c>
      <c r="E324" s="978" t="str">
        <f t="shared" si="18"/>
        <v/>
      </c>
      <c r="G324" s="885"/>
      <c r="H324" s="909"/>
      <c r="J324" s="885"/>
      <c r="K324" s="909"/>
    </row>
    <row r="325" spans="1:11" hidden="1" x14ac:dyDescent="0.25">
      <c r="A325" s="890"/>
      <c r="B325" s="883">
        <f t="shared" si="19"/>
        <v>302</v>
      </c>
      <c r="C325" s="908" t="str">
        <f t="shared" si="16"/>
        <v/>
      </c>
      <c r="D325" s="908" t="str">
        <f t="shared" si="17"/>
        <v/>
      </c>
      <c r="E325" s="978" t="str">
        <f t="shared" si="18"/>
        <v/>
      </c>
    </row>
    <row r="326" spans="1:11" hidden="1" x14ac:dyDescent="0.25">
      <c r="A326" s="890"/>
      <c r="B326" s="883">
        <f t="shared" si="19"/>
        <v>303</v>
      </c>
      <c r="C326" s="908" t="str">
        <f t="shared" si="16"/>
        <v/>
      </c>
      <c r="D326" s="908" t="str">
        <f t="shared" si="17"/>
        <v/>
      </c>
      <c r="E326" s="978" t="str">
        <f t="shared" si="18"/>
        <v/>
      </c>
    </row>
    <row r="327" spans="1:11" hidden="1" x14ac:dyDescent="0.25">
      <c r="A327" s="890"/>
      <c r="B327" s="883">
        <f t="shared" si="19"/>
        <v>304</v>
      </c>
      <c r="C327" s="908" t="str">
        <f t="shared" si="16"/>
        <v/>
      </c>
      <c r="D327" s="908" t="str">
        <f t="shared" si="17"/>
        <v/>
      </c>
      <c r="E327" s="978" t="str">
        <f t="shared" si="18"/>
        <v/>
      </c>
      <c r="H327" s="910"/>
      <c r="K327" s="910"/>
    </row>
    <row r="328" spans="1:11" hidden="1" x14ac:dyDescent="0.25">
      <c r="A328" s="890"/>
      <c r="B328" s="883">
        <f t="shared" si="19"/>
        <v>305</v>
      </c>
      <c r="C328" s="908" t="str">
        <f t="shared" si="16"/>
        <v/>
      </c>
      <c r="D328" s="908" t="str">
        <f t="shared" si="17"/>
        <v/>
      </c>
      <c r="E328" s="978" t="str">
        <f t="shared" si="18"/>
        <v/>
      </c>
      <c r="H328" s="911"/>
      <c r="K328" s="911"/>
    </row>
    <row r="329" spans="1:11" hidden="1" x14ac:dyDescent="0.25">
      <c r="A329" s="890"/>
      <c r="B329" s="883">
        <f t="shared" si="19"/>
        <v>306</v>
      </c>
      <c r="C329" s="908" t="str">
        <f t="shared" si="16"/>
        <v/>
      </c>
      <c r="D329" s="908" t="str">
        <f t="shared" si="17"/>
        <v/>
      </c>
      <c r="E329" s="978" t="str">
        <f t="shared" si="18"/>
        <v/>
      </c>
    </row>
    <row r="330" spans="1:11" hidden="1" x14ac:dyDescent="0.25">
      <c r="A330" s="890"/>
      <c r="B330" s="883">
        <f t="shared" si="19"/>
        <v>307</v>
      </c>
      <c r="C330" s="908" t="str">
        <f t="shared" si="16"/>
        <v/>
      </c>
      <c r="D330" s="908" t="str">
        <f t="shared" si="17"/>
        <v/>
      </c>
      <c r="E330" s="978" t="str">
        <f t="shared" si="18"/>
        <v/>
      </c>
    </row>
    <row r="331" spans="1:11" hidden="1" x14ac:dyDescent="0.25">
      <c r="A331" s="890"/>
      <c r="B331" s="883">
        <f t="shared" si="19"/>
        <v>308</v>
      </c>
      <c r="C331" s="908" t="str">
        <f t="shared" si="16"/>
        <v/>
      </c>
      <c r="D331" s="908" t="str">
        <f t="shared" si="17"/>
        <v/>
      </c>
      <c r="E331" s="978" t="str">
        <f t="shared" si="18"/>
        <v/>
      </c>
    </row>
    <row r="332" spans="1:11" hidden="1" x14ac:dyDescent="0.25">
      <c r="A332" s="890"/>
      <c r="B332" s="883">
        <f t="shared" si="19"/>
        <v>309</v>
      </c>
      <c r="C332" s="908" t="str">
        <f t="shared" ref="C332:C383" si="20">IF($B332&gt;$C$11*12,"",IF(AND($C$11&gt;$D$11,B332&gt;=$D$11*12),"",C$19))</f>
        <v/>
      </c>
      <c r="D332" s="908" t="str">
        <f t="shared" ref="D332:D383" si="21">IF($B332&gt;$C$11*12,"",IF(AND($C$11&gt;$D$11,B332&gt;=$D$11*12),"",D$19))</f>
        <v/>
      </c>
      <c r="E332" s="978" t="str">
        <f t="shared" ref="E332:E383" si="22">IF($B332&gt;$C$11*12,"",IF(AND($C$11&gt;$D$11,B332&gt;=$D$11*12),"",E$19))</f>
        <v/>
      </c>
    </row>
    <row r="333" spans="1:11" hidden="1" x14ac:dyDescent="0.25">
      <c r="A333" s="890"/>
      <c r="B333" s="883">
        <f t="shared" si="19"/>
        <v>310</v>
      </c>
      <c r="C333" s="908" t="str">
        <f t="shared" si="20"/>
        <v/>
      </c>
      <c r="D333" s="908" t="str">
        <f t="shared" si="21"/>
        <v/>
      </c>
      <c r="E333" s="978" t="str">
        <f t="shared" si="22"/>
        <v/>
      </c>
    </row>
    <row r="334" spans="1:11" hidden="1" x14ac:dyDescent="0.25">
      <c r="A334" s="890"/>
      <c r="B334" s="883">
        <f t="shared" si="19"/>
        <v>311</v>
      </c>
      <c r="C334" s="908" t="str">
        <f t="shared" si="20"/>
        <v/>
      </c>
      <c r="D334" s="908" t="str">
        <f t="shared" si="21"/>
        <v/>
      </c>
      <c r="E334" s="978" t="str">
        <f t="shared" si="22"/>
        <v/>
      </c>
    </row>
    <row r="335" spans="1:11" hidden="1" x14ac:dyDescent="0.25">
      <c r="A335" s="890"/>
      <c r="B335" s="883">
        <f t="shared" si="19"/>
        <v>312</v>
      </c>
      <c r="C335" s="908" t="str">
        <f t="shared" si="20"/>
        <v/>
      </c>
      <c r="D335" s="908" t="str">
        <f t="shared" si="21"/>
        <v/>
      </c>
      <c r="E335" s="978" t="str">
        <f t="shared" si="22"/>
        <v/>
      </c>
    </row>
    <row r="336" spans="1:11" hidden="1" x14ac:dyDescent="0.25">
      <c r="A336" s="890"/>
      <c r="B336" s="883">
        <f t="shared" si="19"/>
        <v>313</v>
      </c>
      <c r="C336" s="908" t="str">
        <f t="shared" si="20"/>
        <v/>
      </c>
      <c r="D336" s="908" t="str">
        <f t="shared" si="21"/>
        <v/>
      </c>
      <c r="E336" s="978" t="str">
        <f t="shared" si="22"/>
        <v/>
      </c>
    </row>
    <row r="337" spans="1:5" hidden="1" x14ac:dyDescent="0.25">
      <c r="A337" s="890"/>
      <c r="B337" s="883">
        <f t="shared" si="19"/>
        <v>314</v>
      </c>
      <c r="C337" s="908" t="str">
        <f t="shared" si="20"/>
        <v/>
      </c>
      <c r="D337" s="908" t="str">
        <f t="shared" si="21"/>
        <v/>
      </c>
      <c r="E337" s="978" t="str">
        <f t="shared" si="22"/>
        <v/>
      </c>
    </row>
    <row r="338" spans="1:5" hidden="1" x14ac:dyDescent="0.25">
      <c r="A338" s="890"/>
      <c r="B338" s="883">
        <f t="shared" si="19"/>
        <v>315</v>
      </c>
      <c r="C338" s="908" t="str">
        <f t="shared" si="20"/>
        <v/>
      </c>
      <c r="D338" s="908" t="str">
        <f t="shared" si="21"/>
        <v/>
      </c>
      <c r="E338" s="978" t="str">
        <f t="shared" si="22"/>
        <v/>
      </c>
    </row>
    <row r="339" spans="1:5" hidden="1" x14ac:dyDescent="0.25">
      <c r="A339" s="890"/>
      <c r="B339" s="883">
        <f t="shared" si="19"/>
        <v>316</v>
      </c>
      <c r="C339" s="908" t="str">
        <f t="shared" si="20"/>
        <v/>
      </c>
      <c r="D339" s="908" t="str">
        <f t="shared" si="21"/>
        <v/>
      </c>
      <c r="E339" s="978" t="str">
        <f t="shared" si="22"/>
        <v/>
      </c>
    </row>
    <row r="340" spans="1:5" hidden="1" x14ac:dyDescent="0.25">
      <c r="A340" s="890"/>
      <c r="B340" s="883">
        <f t="shared" si="19"/>
        <v>317</v>
      </c>
      <c r="C340" s="908" t="str">
        <f t="shared" si="20"/>
        <v/>
      </c>
      <c r="D340" s="908" t="str">
        <f t="shared" si="21"/>
        <v/>
      </c>
      <c r="E340" s="978" t="str">
        <f t="shared" si="22"/>
        <v/>
      </c>
    </row>
    <row r="341" spans="1:5" hidden="1" x14ac:dyDescent="0.25">
      <c r="A341" s="890"/>
      <c r="B341" s="883">
        <f t="shared" si="19"/>
        <v>318</v>
      </c>
      <c r="C341" s="908" t="str">
        <f t="shared" si="20"/>
        <v/>
      </c>
      <c r="D341" s="908" t="str">
        <f t="shared" si="21"/>
        <v/>
      </c>
      <c r="E341" s="978" t="str">
        <f t="shared" si="22"/>
        <v/>
      </c>
    </row>
    <row r="342" spans="1:5" hidden="1" x14ac:dyDescent="0.25">
      <c r="A342" s="890"/>
      <c r="B342" s="883">
        <f t="shared" si="19"/>
        <v>319</v>
      </c>
      <c r="C342" s="908" t="str">
        <f t="shared" si="20"/>
        <v/>
      </c>
      <c r="D342" s="908" t="str">
        <f t="shared" si="21"/>
        <v/>
      </c>
      <c r="E342" s="978" t="str">
        <f t="shared" si="22"/>
        <v/>
      </c>
    </row>
    <row r="343" spans="1:5" hidden="1" x14ac:dyDescent="0.25">
      <c r="A343" s="890"/>
      <c r="B343" s="883">
        <f t="shared" si="19"/>
        <v>320</v>
      </c>
      <c r="C343" s="908" t="str">
        <f t="shared" si="20"/>
        <v/>
      </c>
      <c r="D343" s="908" t="str">
        <f t="shared" si="21"/>
        <v/>
      </c>
      <c r="E343" s="978" t="str">
        <f t="shared" si="22"/>
        <v/>
      </c>
    </row>
    <row r="344" spans="1:5" hidden="1" x14ac:dyDescent="0.25">
      <c r="A344" s="890"/>
      <c r="B344" s="883">
        <f t="shared" si="19"/>
        <v>321</v>
      </c>
      <c r="C344" s="908" t="str">
        <f t="shared" si="20"/>
        <v/>
      </c>
      <c r="D344" s="908" t="str">
        <f t="shared" si="21"/>
        <v/>
      </c>
      <c r="E344" s="978" t="str">
        <f t="shared" si="22"/>
        <v/>
      </c>
    </row>
    <row r="345" spans="1:5" hidden="1" x14ac:dyDescent="0.25">
      <c r="A345" s="890"/>
      <c r="B345" s="883">
        <f t="shared" si="19"/>
        <v>322</v>
      </c>
      <c r="C345" s="908" t="str">
        <f t="shared" si="20"/>
        <v/>
      </c>
      <c r="D345" s="908" t="str">
        <f t="shared" si="21"/>
        <v/>
      </c>
      <c r="E345" s="978" t="str">
        <f t="shared" si="22"/>
        <v/>
      </c>
    </row>
    <row r="346" spans="1:5" hidden="1" x14ac:dyDescent="0.25">
      <c r="A346" s="890"/>
      <c r="B346" s="883">
        <f t="shared" ref="B346:B409" si="23">B345+1</f>
        <v>323</v>
      </c>
      <c r="C346" s="908" t="str">
        <f t="shared" si="20"/>
        <v/>
      </c>
      <c r="D346" s="908" t="str">
        <f t="shared" si="21"/>
        <v/>
      </c>
      <c r="E346" s="978" t="str">
        <f t="shared" si="22"/>
        <v/>
      </c>
    </row>
    <row r="347" spans="1:5" hidden="1" x14ac:dyDescent="0.25">
      <c r="A347" s="890"/>
      <c r="B347" s="883">
        <f t="shared" si="23"/>
        <v>324</v>
      </c>
      <c r="C347" s="908" t="str">
        <f t="shared" si="20"/>
        <v/>
      </c>
      <c r="D347" s="908" t="str">
        <f t="shared" si="21"/>
        <v/>
      </c>
      <c r="E347" s="978" t="str">
        <f t="shared" si="22"/>
        <v/>
      </c>
    </row>
    <row r="348" spans="1:5" hidden="1" x14ac:dyDescent="0.25">
      <c r="A348" s="890"/>
      <c r="B348" s="883">
        <f t="shared" si="23"/>
        <v>325</v>
      </c>
      <c r="C348" s="908" t="str">
        <f t="shared" si="20"/>
        <v/>
      </c>
      <c r="D348" s="908" t="str">
        <f t="shared" si="21"/>
        <v/>
      </c>
      <c r="E348" s="978" t="str">
        <f t="shared" si="22"/>
        <v/>
      </c>
    </row>
    <row r="349" spans="1:5" hidden="1" x14ac:dyDescent="0.25">
      <c r="A349" s="890"/>
      <c r="B349" s="883">
        <f t="shared" si="23"/>
        <v>326</v>
      </c>
      <c r="C349" s="908" t="str">
        <f t="shared" si="20"/>
        <v/>
      </c>
      <c r="D349" s="908" t="str">
        <f t="shared" si="21"/>
        <v/>
      </c>
      <c r="E349" s="978" t="str">
        <f t="shared" si="22"/>
        <v/>
      </c>
    </row>
    <row r="350" spans="1:5" hidden="1" x14ac:dyDescent="0.25">
      <c r="A350" s="890"/>
      <c r="B350" s="883">
        <f t="shared" si="23"/>
        <v>327</v>
      </c>
      <c r="C350" s="908" t="str">
        <f t="shared" si="20"/>
        <v/>
      </c>
      <c r="D350" s="908" t="str">
        <f t="shared" si="21"/>
        <v/>
      </c>
      <c r="E350" s="978" t="str">
        <f t="shared" si="22"/>
        <v/>
      </c>
    </row>
    <row r="351" spans="1:5" hidden="1" x14ac:dyDescent="0.25">
      <c r="A351" s="890"/>
      <c r="B351" s="883">
        <f t="shared" si="23"/>
        <v>328</v>
      </c>
      <c r="C351" s="908" t="str">
        <f t="shared" si="20"/>
        <v/>
      </c>
      <c r="D351" s="908" t="str">
        <f t="shared" si="21"/>
        <v/>
      </c>
      <c r="E351" s="978" t="str">
        <f t="shared" si="22"/>
        <v/>
      </c>
    </row>
    <row r="352" spans="1:5" hidden="1" x14ac:dyDescent="0.25">
      <c r="A352" s="890"/>
      <c r="B352" s="883">
        <f t="shared" si="23"/>
        <v>329</v>
      </c>
      <c r="C352" s="908" t="str">
        <f t="shared" si="20"/>
        <v/>
      </c>
      <c r="D352" s="908" t="str">
        <f t="shared" si="21"/>
        <v/>
      </c>
      <c r="E352" s="978" t="str">
        <f t="shared" si="22"/>
        <v/>
      </c>
    </row>
    <row r="353" spans="1:5" hidden="1" x14ac:dyDescent="0.25">
      <c r="A353" s="890"/>
      <c r="B353" s="883">
        <f t="shared" si="23"/>
        <v>330</v>
      </c>
      <c r="C353" s="908" t="str">
        <f t="shared" si="20"/>
        <v/>
      </c>
      <c r="D353" s="908" t="str">
        <f t="shared" si="21"/>
        <v/>
      </c>
      <c r="E353" s="978" t="str">
        <f t="shared" si="22"/>
        <v/>
      </c>
    </row>
    <row r="354" spans="1:5" hidden="1" x14ac:dyDescent="0.25">
      <c r="A354" s="890"/>
      <c r="B354" s="883">
        <f t="shared" si="23"/>
        <v>331</v>
      </c>
      <c r="C354" s="908" t="str">
        <f t="shared" si="20"/>
        <v/>
      </c>
      <c r="D354" s="908" t="str">
        <f t="shared" si="21"/>
        <v/>
      </c>
      <c r="E354" s="978" t="str">
        <f t="shared" si="22"/>
        <v/>
      </c>
    </row>
    <row r="355" spans="1:5" hidden="1" x14ac:dyDescent="0.25">
      <c r="A355" s="890"/>
      <c r="B355" s="883">
        <f t="shared" si="23"/>
        <v>332</v>
      </c>
      <c r="C355" s="908" t="str">
        <f t="shared" si="20"/>
        <v/>
      </c>
      <c r="D355" s="908" t="str">
        <f t="shared" si="21"/>
        <v/>
      </c>
      <c r="E355" s="978" t="str">
        <f t="shared" si="22"/>
        <v/>
      </c>
    </row>
    <row r="356" spans="1:5" hidden="1" x14ac:dyDescent="0.25">
      <c r="A356" s="890"/>
      <c r="B356" s="883">
        <f t="shared" si="23"/>
        <v>333</v>
      </c>
      <c r="C356" s="908" t="str">
        <f t="shared" si="20"/>
        <v/>
      </c>
      <c r="D356" s="908" t="str">
        <f t="shared" si="21"/>
        <v/>
      </c>
      <c r="E356" s="978" t="str">
        <f t="shared" si="22"/>
        <v/>
      </c>
    </row>
    <row r="357" spans="1:5" hidden="1" x14ac:dyDescent="0.25">
      <c r="A357" s="890"/>
      <c r="B357" s="883">
        <f t="shared" si="23"/>
        <v>334</v>
      </c>
      <c r="C357" s="908" t="str">
        <f t="shared" si="20"/>
        <v/>
      </c>
      <c r="D357" s="908" t="str">
        <f t="shared" si="21"/>
        <v/>
      </c>
      <c r="E357" s="978" t="str">
        <f t="shared" si="22"/>
        <v/>
      </c>
    </row>
    <row r="358" spans="1:5" hidden="1" x14ac:dyDescent="0.25">
      <c r="A358" s="890"/>
      <c r="B358" s="883">
        <f t="shared" si="23"/>
        <v>335</v>
      </c>
      <c r="C358" s="908" t="str">
        <f t="shared" si="20"/>
        <v/>
      </c>
      <c r="D358" s="908" t="str">
        <f t="shared" si="21"/>
        <v/>
      </c>
      <c r="E358" s="978" t="str">
        <f t="shared" si="22"/>
        <v/>
      </c>
    </row>
    <row r="359" spans="1:5" hidden="1" x14ac:dyDescent="0.25">
      <c r="A359" s="890"/>
      <c r="B359" s="883">
        <f t="shared" si="23"/>
        <v>336</v>
      </c>
      <c r="C359" s="908" t="str">
        <f t="shared" si="20"/>
        <v/>
      </c>
      <c r="D359" s="908" t="str">
        <f t="shared" si="21"/>
        <v/>
      </c>
      <c r="E359" s="978" t="str">
        <f t="shared" si="22"/>
        <v/>
      </c>
    </row>
    <row r="360" spans="1:5" hidden="1" x14ac:dyDescent="0.25">
      <c r="A360" s="890"/>
      <c r="B360" s="883">
        <f t="shared" si="23"/>
        <v>337</v>
      </c>
      <c r="C360" s="908" t="str">
        <f t="shared" si="20"/>
        <v/>
      </c>
      <c r="D360" s="908" t="str">
        <f t="shared" si="21"/>
        <v/>
      </c>
      <c r="E360" s="978" t="str">
        <f t="shared" si="22"/>
        <v/>
      </c>
    </row>
    <row r="361" spans="1:5" hidden="1" x14ac:dyDescent="0.25">
      <c r="A361" s="890"/>
      <c r="B361" s="883">
        <f t="shared" si="23"/>
        <v>338</v>
      </c>
      <c r="C361" s="908" t="str">
        <f t="shared" si="20"/>
        <v/>
      </c>
      <c r="D361" s="908" t="str">
        <f t="shared" si="21"/>
        <v/>
      </c>
      <c r="E361" s="978" t="str">
        <f t="shared" si="22"/>
        <v/>
      </c>
    </row>
    <row r="362" spans="1:5" hidden="1" x14ac:dyDescent="0.25">
      <c r="A362" s="890"/>
      <c r="B362" s="883">
        <f t="shared" si="23"/>
        <v>339</v>
      </c>
      <c r="C362" s="908" t="str">
        <f t="shared" si="20"/>
        <v/>
      </c>
      <c r="D362" s="908" t="str">
        <f t="shared" si="21"/>
        <v/>
      </c>
      <c r="E362" s="978" t="str">
        <f t="shared" si="22"/>
        <v/>
      </c>
    </row>
    <row r="363" spans="1:5" hidden="1" x14ac:dyDescent="0.25">
      <c r="A363" s="890"/>
      <c r="B363" s="883">
        <f t="shared" si="23"/>
        <v>340</v>
      </c>
      <c r="C363" s="908" t="str">
        <f t="shared" si="20"/>
        <v/>
      </c>
      <c r="D363" s="908" t="str">
        <f t="shared" si="21"/>
        <v/>
      </c>
      <c r="E363" s="978" t="str">
        <f t="shared" si="22"/>
        <v/>
      </c>
    </row>
    <row r="364" spans="1:5" hidden="1" x14ac:dyDescent="0.25">
      <c r="A364" s="890"/>
      <c r="B364" s="883">
        <f t="shared" si="23"/>
        <v>341</v>
      </c>
      <c r="C364" s="908" t="str">
        <f t="shared" si="20"/>
        <v/>
      </c>
      <c r="D364" s="908" t="str">
        <f t="shared" si="21"/>
        <v/>
      </c>
      <c r="E364" s="978" t="str">
        <f t="shared" si="22"/>
        <v/>
      </c>
    </row>
    <row r="365" spans="1:5" hidden="1" x14ac:dyDescent="0.25">
      <c r="A365" s="890"/>
      <c r="B365" s="883">
        <f t="shared" si="23"/>
        <v>342</v>
      </c>
      <c r="C365" s="908" t="str">
        <f t="shared" si="20"/>
        <v/>
      </c>
      <c r="D365" s="908" t="str">
        <f t="shared" si="21"/>
        <v/>
      </c>
      <c r="E365" s="978" t="str">
        <f t="shared" si="22"/>
        <v/>
      </c>
    </row>
    <row r="366" spans="1:5" hidden="1" x14ac:dyDescent="0.25">
      <c r="A366" s="890"/>
      <c r="B366" s="883">
        <f t="shared" si="23"/>
        <v>343</v>
      </c>
      <c r="C366" s="908" t="str">
        <f t="shared" si="20"/>
        <v/>
      </c>
      <c r="D366" s="908" t="str">
        <f t="shared" si="21"/>
        <v/>
      </c>
      <c r="E366" s="978" t="str">
        <f t="shared" si="22"/>
        <v/>
      </c>
    </row>
    <row r="367" spans="1:5" hidden="1" x14ac:dyDescent="0.25">
      <c r="A367" s="890"/>
      <c r="B367" s="883">
        <f t="shared" si="23"/>
        <v>344</v>
      </c>
      <c r="C367" s="908" t="str">
        <f t="shared" si="20"/>
        <v/>
      </c>
      <c r="D367" s="908" t="str">
        <f t="shared" si="21"/>
        <v/>
      </c>
      <c r="E367" s="978" t="str">
        <f t="shared" si="22"/>
        <v/>
      </c>
    </row>
    <row r="368" spans="1:5" hidden="1" x14ac:dyDescent="0.25">
      <c r="A368" s="890"/>
      <c r="B368" s="883">
        <f t="shared" si="23"/>
        <v>345</v>
      </c>
      <c r="C368" s="908" t="str">
        <f t="shared" si="20"/>
        <v/>
      </c>
      <c r="D368" s="908" t="str">
        <f t="shared" si="21"/>
        <v/>
      </c>
      <c r="E368" s="978" t="str">
        <f t="shared" si="22"/>
        <v/>
      </c>
    </row>
    <row r="369" spans="1:5" hidden="1" x14ac:dyDescent="0.25">
      <c r="A369" s="890"/>
      <c r="B369" s="883">
        <f t="shared" si="23"/>
        <v>346</v>
      </c>
      <c r="C369" s="908" t="str">
        <f t="shared" si="20"/>
        <v/>
      </c>
      <c r="D369" s="908" t="str">
        <f t="shared" si="21"/>
        <v/>
      </c>
      <c r="E369" s="978" t="str">
        <f t="shared" si="22"/>
        <v/>
      </c>
    </row>
    <row r="370" spans="1:5" hidden="1" x14ac:dyDescent="0.25">
      <c r="A370" s="890"/>
      <c r="B370" s="883">
        <f t="shared" si="23"/>
        <v>347</v>
      </c>
      <c r="C370" s="908" t="str">
        <f t="shared" si="20"/>
        <v/>
      </c>
      <c r="D370" s="908" t="str">
        <f t="shared" si="21"/>
        <v/>
      </c>
      <c r="E370" s="978" t="str">
        <f t="shared" si="22"/>
        <v/>
      </c>
    </row>
    <row r="371" spans="1:5" hidden="1" x14ac:dyDescent="0.25">
      <c r="A371" s="890"/>
      <c r="B371" s="883">
        <f t="shared" si="23"/>
        <v>348</v>
      </c>
      <c r="C371" s="908" t="str">
        <f t="shared" si="20"/>
        <v/>
      </c>
      <c r="D371" s="908" t="str">
        <f t="shared" si="21"/>
        <v/>
      </c>
      <c r="E371" s="978" t="str">
        <f t="shared" si="22"/>
        <v/>
      </c>
    </row>
    <row r="372" spans="1:5" hidden="1" x14ac:dyDescent="0.25">
      <c r="A372" s="890"/>
      <c r="B372" s="883">
        <f t="shared" si="23"/>
        <v>349</v>
      </c>
      <c r="C372" s="908" t="str">
        <f t="shared" si="20"/>
        <v/>
      </c>
      <c r="D372" s="908" t="str">
        <f t="shared" si="21"/>
        <v/>
      </c>
      <c r="E372" s="978" t="str">
        <f t="shared" si="22"/>
        <v/>
      </c>
    </row>
    <row r="373" spans="1:5" hidden="1" x14ac:dyDescent="0.25">
      <c r="A373" s="890"/>
      <c r="B373" s="883">
        <f t="shared" si="23"/>
        <v>350</v>
      </c>
      <c r="C373" s="908" t="str">
        <f t="shared" si="20"/>
        <v/>
      </c>
      <c r="D373" s="908" t="str">
        <f t="shared" si="21"/>
        <v/>
      </c>
      <c r="E373" s="978" t="str">
        <f t="shared" si="22"/>
        <v/>
      </c>
    </row>
    <row r="374" spans="1:5" hidden="1" x14ac:dyDescent="0.25">
      <c r="A374" s="890"/>
      <c r="B374" s="883">
        <f t="shared" si="23"/>
        <v>351</v>
      </c>
      <c r="C374" s="908" t="str">
        <f t="shared" si="20"/>
        <v/>
      </c>
      <c r="D374" s="908" t="str">
        <f t="shared" si="21"/>
        <v/>
      </c>
      <c r="E374" s="978" t="str">
        <f t="shared" si="22"/>
        <v/>
      </c>
    </row>
    <row r="375" spans="1:5" hidden="1" x14ac:dyDescent="0.25">
      <c r="A375" s="890"/>
      <c r="B375" s="883">
        <f t="shared" si="23"/>
        <v>352</v>
      </c>
      <c r="C375" s="908" t="str">
        <f t="shared" si="20"/>
        <v/>
      </c>
      <c r="D375" s="908" t="str">
        <f t="shared" si="21"/>
        <v/>
      </c>
      <c r="E375" s="978" t="str">
        <f t="shared" si="22"/>
        <v/>
      </c>
    </row>
    <row r="376" spans="1:5" hidden="1" x14ac:dyDescent="0.25">
      <c r="A376" s="890"/>
      <c r="B376" s="883">
        <f t="shared" si="23"/>
        <v>353</v>
      </c>
      <c r="C376" s="908" t="str">
        <f t="shared" si="20"/>
        <v/>
      </c>
      <c r="D376" s="908" t="str">
        <f t="shared" si="21"/>
        <v/>
      </c>
      <c r="E376" s="978" t="str">
        <f t="shared" si="22"/>
        <v/>
      </c>
    </row>
    <row r="377" spans="1:5" hidden="1" x14ac:dyDescent="0.25">
      <c r="A377" s="890"/>
      <c r="B377" s="883">
        <f t="shared" si="23"/>
        <v>354</v>
      </c>
      <c r="C377" s="908" t="str">
        <f t="shared" si="20"/>
        <v/>
      </c>
      <c r="D377" s="908" t="str">
        <f t="shared" si="21"/>
        <v/>
      </c>
      <c r="E377" s="978" t="str">
        <f t="shared" si="22"/>
        <v/>
      </c>
    </row>
    <row r="378" spans="1:5" hidden="1" x14ac:dyDescent="0.25">
      <c r="A378" s="890"/>
      <c r="B378" s="883">
        <f t="shared" si="23"/>
        <v>355</v>
      </c>
      <c r="C378" s="908" t="str">
        <f t="shared" si="20"/>
        <v/>
      </c>
      <c r="D378" s="908" t="str">
        <f t="shared" si="21"/>
        <v/>
      </c>
      <c r="E378" s="978" t="str">
        <f t="shared" si="22"/>
        <v/>
      </c>
    </row>
    <row r="379" spans="1:5" hidden="1" x14ac:dyDescent="0.25">
      <c r="A379" s="890"/>
      <c r="B379" s="883">
        <f t="shared" si="23"/>
        <v>356</v>
      </c>
      <c r="C379" s="908" t="str">
        <f t="shared" si="20"/>
        <v/>
      </c>
      <c r="D379" s="908" t="str">
        <f t="shared" si="21"/>
        <v/>
      </c>
      <c r="E379" s="978" t="str">
        <f t="shared" si="22"/>
        <v/>
      </c>
    </row>
    <row r="380" spans="1:5" hidden="1" x14ac:dyDescent="0.25">
      <c r="A380" s="890"/>
      <c r="B380" s="883">
        <f t="shared" si="23"/>
        <v>357</v>
      </c>
      <c r="C380" s="908" t="str">
        <f t="shared" si="20"/>
        <v/>
      </c>
      <c r="D380" s="908" t="str">
        <f t="shared" si="21"/>
        <v/>
      </c>
      <c r="E380" s="978" t="str">
        <f t="shared" si="22"/>
        <v/>
      </c>
    </row>
    <row r="381" spans="1:5" hidden="1" x14ac:dyDescent="0.25">
      <c r="A381" s="890"/>
      <c r="B381" s="883">
        <f t="shared" si="23"/>
        <v>358</v>
      </c>
      <c r="C381" s="908" t="str">
        <f t="shared" si="20"/>
        <v/>
      </c>
      <c r="D381" s="908" t="str">
        <f t="shared" si="21"/>
        <v/>
      </c>
      <c r="E381" s="978" t="str">
        <f t="shared" si="22"/>
        <v/>
      </c>
    </row>
    <row r="382" spans="1:5" hidden="1" x14ac:dyDescent="0.25">
      <c r="A382" s="890"/>
      <c r="B382" s="883">
        <f t="shared" si="23"/>
        <v>359</v>
      </c>
      <c r="C382" s="908" t="str">
        <f t="shared" si="20"/>
        <v/>
      </c>
      <c r="D382" s="908" t="str">
        <f t="shared" si="21"/>
        <v/>
      </c>
      <c r="E382" s="978" t="str">
        <f t="shared" si="22"/>
        <v/>
      </c>
    </row>
    <row r="383" spans="1:5" hidden="1" x14ac:dyDescent="0.25">
      <c r="A383" s="890"/>
      <c r="B383" s="883">
        <f t="shared" si="23"/>
        <v>360</v>
      </c>
      <c r="C383" s="908" t="str">
        <f t="shared" si="20"/>
        <v/>
      </c>
      <c r="D383" s="908" t="str">
        <f t="shared" si="21"/>
        <v/>
      </c>
      <c r="E383" s="978" t="str">
        <f t="shared" si="22"/>
        <v/>
      </c>
    </row>
    <row r="384" spans="1:5" x14ac:dyDescent="0.25">
      <c r="A384" s="907" t="str">
        <f>IF(A23="","","with a Final")</f>
        <v>with a Final</v>
      </c>
      <c r="C384" s="908"/>
      <c r="D384" s="908"/>
      <c r="E384" s="978"/>
    </row>
    <row r="385" spans="1:11" ht="13.8" thickBot="1" x14ac:dyDescent="0.3">
      <c r="A385" s="907" t="str">
        <f>IF(A384="","","Balloon")</f>
        <v>Balloon</v>
      </c>
      <c r="C385" s="908"/>
      <c r="D385" s="908"/>
      <c r="E385" s="978"/>
    </row>
    <row r="386" spans="1:11" x14ac:dyDescent="0.25">
      <c r="A386" s="907" t="str">
        <f>IF(A385="","","Payment of")</f>
        <v>Payment of</v>
      </c>
      <c r="C386" s="908" t="str">
        <f>IF(A11=0,"",IF(C11=D11,"",C19+CUMPRINC(C15/12,C11*12,A11,1,D11*12,0)+A11))</f>
        <v/>
      </c>
      <c r="D386" s="908" t="str">
        <f>IF(A11=0,"",IF(C11=D11,"",D19+CUMPRINC(D15/12,C11*12,A11,1,D11*12,0)+A11))</f>
        <v/>
      </c>
      <c r="E386" s="978" t="str">
        <f>IF(A11=0,"",IF(C11=D11,"",C386-D386))</f>
        <v/>
      </c>
      <c r="G386" s="1758" t="s">
        <v>973</v>
      </c>
      <c r="H386" s="1760"/>
      <c r="J386" s="1758" t="s">
        <v>973</v>
      </c>
      <c r="K386" s="1760"/>
    </row>
    <row r="387" spans="1:11" ht="13.8" thickBot="1" x14ac:dyDescent="0.3">
      <c r="A387" s="907" t="str">
        <f>IF(A386="","","at the end of")</f>
        <v>at the end of</v>
      </c>
      <c r="C387" s="908"/>
      <c r="D387" s="908"/>
      <c r="E387" s="978"/>
      <c r="G387" s="1761"/>
      <c r="H387" s="1763"/>
      <c r="J387" s="1761"/>
      <c r="K387" s="1763"/>
    </row>
    <row r="388" spans="1:11" ht="13.8" thickBot="1" x14ac:dyDescent="0.3">
      <c r="A388" s="907" t="str">
        <f>IF(A387="","",IF(D11=15,"Fifteen Yrs.",IF(D11=20,"Twenty Yrs.",IF(D11=25,"Twenty-five Yrs.","Thirty Yrs."))))</f>
        <v>Twenty Yrs.</v>
      </c>
      <c r="C388" s="908"/>
      <c r="D388" s="908"/>
      <c r="E388" s="978"/>
      <c r="G388" s="887"/>
      <c r="H388" s="889"/>
      <c r="J388" s="887"/>
      <c r="K388" s="889"/>
    </row>
    <row r="389" spans="1:11" ht="13.8" hidden="1" thickBot="1" x14ac:dyDescent="0.3">
      <c r="A389" s="890"/>
      <c r="B389" s="883">
        <f>B383+1</f>
        <v>361</v>
      </c>
      <c r="C389" s="908" t="str">
        <f t="shared" ref="C389:E408" si="24">IF($B389&gt;$C$11*12,"",C$19)</f>
        <v/>
      </c>
      <c r="D389" s="908" t="str">
        <f t="shared" si="24"/>
        <v/>
      </c>
      <c r="E389" s="978" t="str">
        <f t="shared" si="24"/>
        <v/>
      </c>
    </row>
    <row r="390" spans="1:11" ht="13.8" hidden="1" thickBot="1" x14ac:dyDescent="0.3">
      <c r="A390" s="890"/>
      <c r="B390" s="883">
        <f t="shared" si="23"/>
        <v>362</v>
      </c>
      <c r="C390" s="908" t="str">
        <f t="shared" si="24"/>
        <v/>
      </c>
      <c r="D390" s="908" t="str">
        <f t="shared" si="24"/>
        <v/>
      </c>
      <c r="E390" s="978" t="str">
        <f t="shared" si="24"/>
        <v/>
      </c>
    </row>
    <row r="391" spans="1:11" ht="13.8" hidden="1" thickBot="1" x14ac:dyDescent="0.3">
      <c r="A391" s="890"/>
      <c r="B391" s="883">
        <f t="shared" si="23"/>
        <v>363</v>
      </c>
      <c r="C391" s="908" t="str">
        <f t="shared" si="24"/>
        <v/>
      </c>
      <c r="D391" s="908" t="str">
        <f t="shared" si="24"/>
        <v/>
      </c>
      <c r="E391" s="978" t="str">
        <f t="shared" si="24"/>
        <v/>
      </c>
    </row>
    <row r="392" spans="1:11" ht="13.8" hidden="1" thickBot="1" x14ac:dyDescent="0.3">
      <c r="A392" s="890"/>
      <c r="B392" s="883">
        <f t="shared" si="23"/>
        <v>364</v>
      </c>
      <c r="C392" s="908" t="str">
        <f t="shared" si="24"/>
        <v/>
      </c>
      <c r="D392" s="908" t="str">
        <f t="shared" si="24"/>
        <v/>
      </c>
      <c r="E392" s="978" t="str">
        <f t="shared" si="24"/>
        <v/>
      </c>
    </row>
    <row r="393" spans="1:11" ht="13.8" hidden="1" thickBot="1" x14ac:dyDescent="0.3">
      <c r="A393" s="890"/>
      <c r="B393" s="883">
        <f t="shared" si="23"/>
        <v>365</v>
      </c>
      <c r="C393" s="908" t="str">
        <f t="shared" si="24"/>
        <v/>
      </c>
      <c r="D393" s="908" t="str">
        <f t="shared" si="24"/>
        <v/>
      </c>
      <c r="E393" s="978" t="str">
        <f t="shared" si="24"/>
        <v/>
      </c>
    </row>
    <row r="394" spans="1:11" ht="13.8" hidden="1" thickBot="1" x14ac:dyDescent="0.3">
      <c r="A394" s="890"/>
      <c r="B394" s="883">
        <f t="shared" si="23"/>
        <v>366</v>
      </c>
      <c r="C394" s="908" t="str">
        <f t="shared" si="24"/>
        <v/>
      </c>
      <c r="D394" s="908" t="str">
        <f t="shared" si="24"/>
        <v/>
      </c>
      <c r="E394" s="978" t="str">
        <f t="shared" si="24"/>
        <v/>
      </c>
    </row>
    <row r="395" spans="1:11" ht="13.8" hidden="1" thickBot="1" x14ac:dyDescent="0.3">
      <c r="A395" s="890"/>
      <c r="B395" s="883">
        <f t="shared" si="23"/>
        <v>367</v>
      </c>
      <c r="C395" s="908" t="str">
        <f t="shared" si="24"/>
        <v/>
      </c>
      <c r="D395" s="908" t="str">
        <f t="shared" si="24"/>
        <v/>
      </c>
      <c r="E395" s="978" t="str">
        <f t="shared" si="24"/>
        <v/>
      </c>
    </row>
    <row r="396" spans="1:11" ht="13.8" hidden="1" thickBot="1" x14ac:dyDescent="0.3">
      <c r="A396" s="890"/>
      <c r="B396" s="883">
        <f t="shared" si="23"/>
        <v>368</v>
      </c>
      <c r="C396" s="908" t="str">
        <f t="shared" si="24"/>
        <v/>
      </c>
      <c r="D396" s="908" t="str">
        <f t="shared" si="24"/>
        <v/>
      </c>
      <c r="E396" s="978" t="str">
        <f t="shared" si="24"/>
        <v/>
      </c>
    </row>
    <row r="397" spans="1:11" ht="13.8" hidden="1" thickBot="1" x14ac:dyDescent="0.3">
      <c r="A397" s="890"/>
      <c r="B397" s="883">
        <f t="shared" si="23"/>
        <v>369</v>
      </c>
      <c r="C397" s="908" t="str">
        <f t="shared" si="24"/>
        <v/>
      </c>
      <c r="D397" s="908" t="str">
        <f t="shared" si="24"/>
        <v/>
      </c>
      <c r="E397" s="978" t="str">
        <f t="shared" si="24"/>
        <v/>
      </c>
    </row>
    <row r="398" spans="1:11" ht="13.8" hidden="1" thickBot="1" x14ac:dyDescent="0.3">
      <c r="A398" s="890"/>
      <c r="B398" s="883">
        <f t="shared" si="23"/>
        <v>370</v>
      </c>
      <c r="C398" s="908" t="str">
        <f t="shared" si="24"/>
        <v/>
      </c>
      <c r="D398" s="908" t="str">
        <f t="shared" si="24"/>
        <v/>
      </c>
      <c r="E398" s="978" t="str">
        <f t="shared" si="24"/>
        <v/>
      </c>
    </row>
    <row r="399" spans="1:11" ht="13.8" hidden="1" thickBot="1" x14ac:dyDescent="0.3">
      <c r="A399" s="890"/>
      <c r="B399" s="883">
        <f t="shared" si="23"/>
        <v>371</v>
      </c>
      <c r="C399" s="908" t="str">
        <f t="shared" si="24"/>
        <v/>
      </c>
      <c r="D399" s="908" t="str">
        <f t="shared" si="24"/>
        <v/>
      </c>
      <c r="E399" s="978" t="str">
        <f t="shared" si="24"/>
        <v/>
      </c>
    </row>
    <row r="400" spans="1:11" ht="13.8" hidden="1" thickBot="1" x14ac:dyDescent="0.3">
      <c r="A400" s="890"/>
      <c r="B400" s="883">
        <f t="shared" si="23"/>
        <v>372</v>
      </c>
      <c r="C400" s="908" t="str">
        <f t="shared" si="24"/>
        <v/>
      </c>
      <c r="D400" s="908" t="str">
        <f t="shared" si="24"/>
        <v/>
      </c>
      <c r="E400" s="978" t="str">
        <f t="shared" si="24"/>
        <v/>
      </c>
    </row>
    <row r="401" spans="1:5" ht="13.8" hidden="1" thickBot="1" x14ac:dyDescent="0.3">
      <c r="A401" s="890"/>
      <c r="B401" s="883">
        <f t="shared" si="23"/>
        <v>373</v>
      </c>
      <c r="C401" s="908" t="str">
        <f t="shared" si="24"/>
        <v/>
      </c>
      <c r="D401" s="908" t="str">
        <f t="shared" si="24"/>
        <v/>
      </c>
      <c r="E401" s="978" t="str">
        <f t="shared" si="24"/>
        <v/>
      </c>
    </row>
    <row r="402" spans="1:5" ht="13.8" hidden="1" thickBot="1" x14ac:dyDescent="0.3">
      <c r="A402" s="890"/>
      <c r="B402" s="883">
        <f t="shared" si="23"/>
        <v>374</v>
      </c>
      <c r="C402" s="908" t="str">
        <f t="shared" si="24"/>
        <v/>
      </c>
      <c r="D402" s="908" t="str">
        <f t="shared" si="24"/>
        <v/>
      </c>
      <c r="E402" s="978" t="str">
        <f t="shared" si="24"/>
        <v/>
      </c>
    </row>
    <row r="403" spans="1:5" ht="13.8" hidden="1" thickBot="1" x14ac:dyDescent="0.3">
      <c r="A403" s="890"/>
      <c r="B403" s="883">
        <f t="shared" si="23"/>
        <v>375</v>
      </c>
      <c r="C403" s="908" t="str">
        <f t="shared" si="24"/>
        <v/>
      </c>
      <c r="D403" s="908" t="str">
        <f t="shared" si="24"/>
        <v/>
      </c>
      <c r="E403" s="978" t="str">
        <f t="shared" si="24"/>
        <v/>
      </c>
    </row>
    <row r="404" spans="1:5" ht="13.8" hidden="1" thickBot="1" x14ac:dyDescent="0.3">
      <c r="A404" s="890"/>
      <c r="B404" s="883">
        <f t="shared" si="23"/>
        <v>376</v>
      </c>
      <c r="C404" s="908" t="str">
        <f t="shared" si="24"/>
        <v/>
      </c>
      <c r="D404" s="908" t="str">
        <f t="shared" si="24"/>
        <v/>
      </c>
      <c r="E404" s="978" t="str">
        <f t="shared" si="24"/>
        <v/>
      </c>
    </row>
    <row r="405" spans="1:5" ht="13.8" hidden="1" thickBot="1" x14ac:dyDescent="0.3">
      <c r="A405" s="890"/>
      <c r="B405" s="883">
        <f t="shared" si="23"/>
        <v>377</v>
      </c>
      <c r="C405" s="908" t="str">
        <f t="shared" si="24"/>
        <v/>
      </c>
      <c r="D405" s="908" t="str">
        <f t="shared" si="24"/>
        <v/>
      </c>
      <c r="E405" s="978" t="str">
        <f t="shared" si="24"/>
        <v/>
      </c>
    </row>
    <row r="406" spans="1:5" ht="13.8" hidden="1" thickBot="1" x14ac:dyDescent="0.3">
      <c r="A406" s="890"/>
      <c r="B406" s="883">
        <f t="shared" si="23"/>
        <v>378</v>
      </c>
      <c r="C406" s="908" t="str">
        <f t="shared" si="24"/>
        <v/>
      </c>
      <c r="D406" s="908" t="str">
        <f t="shared" si="24"/>
        <v/>
      </c>
      <c r="E406" s="978" t="str">
        <f t="shared" si="24"/>
        <v/>
      </c>
    </row>
    <row r="407" spans="1:5" ht="13.8" hidden="1" thickBot="1" x14ac:dyDescent="0.3">
      <c r="A407" s="890"/>
      <c r="B407" s="883">
        <f t="shared" si="23"/>
        <v>379</v>
      </c>
      <c r="C407" s="908" t="str">
        <f t="shared" si="24"/>
        <v/>
      </c>
      <c r="D407" s="908" t="str">
        <f t="shared" si="24"/>
        <v/>
      </c>
      <c r="E407" s="978" t="str">
        <f t="shared" si="24"/>
        <v/>
      </c>
    </row>
    <row r="408" spans="1:5" ht="13.8" hidden="1" thickBot="1" x14ac:dyDescent="0.3">
      <c r="A408" s="890"/>
      <c r="B408" s="883">
        <f t="shared" si="23"/>
        <v>380</v>
      </c>
      <c r="C408" s="908" t="str">
        <f t="shared" si="24"/>
        <v/>
      </c>
      <c r="D408" s="908" t="str">
        <f t="shared" si="24"/>
        <v/>
      </c>
      <c r="E408" s="978" t="str">
        <f t="shared" si="24"/>
        <v/>
      </c>
    </row>
    <row r="409" spans="1:5" ht="13.8" hidden="1" thickBot="1" x14ac:dyDescent="0.3">
      <c r="A409" s="890"/>
      <c r="B409" s="883">
        <f t="shared" si="23"/>
        <v>381</v>
      </c>
      <c r="C409" s="908" t="str">
        <f t="shared" ref="C409:E428" si="25">IF($B409&gt;$C$11*12,"",C$19)</f>
        <v/>
      </c>
      <c r="D409" s="908" t="str">
        <f t="shared" si="25"/>
        <v/>
      </c>
      <c r="E409" s="978" t="str">
        <f t="shared" si="25"/>
        <v/>
      </c>
    </row>
    <row r="410" spans="1:5" ht="13.8" hidden="1" thickBot="1" x14ac:dyDescent="0.3">
      <c r="A410" s="890"/>
      <c r="B410" s="883">
        <f t="shared" ref="B410:B473" si="26">B409+1</f>
        <v>382</v>
      </c>
      <c r="C410" s="908" t="str">
        <f t="shared" si="25"/>
        <v/>
      </c>
      <c r="D410" s="908" t="str">
        <f t="shared" si="25"/>
        <v/>
      </c>
      <c r="E410" s="978" t="str">
        <f t="shared" si="25"/>
        <v/>
      </c>
    </row>
    <row r="411" spans="1:5" ht="13.8" hidden="1" thickBot="1" x14ac:dyDescent="0.3">
      <c r="A411" s="890"/>
      <c r="B411" s="883">
        <f t="shared" si="26"/>
        <v>383</v>
      </c>
      <c r="C411" s="908" t="str">
        <f t="shared" si="25"/>
        <v/>
      </c>
      <c r="D411" s="908" t="str">
        <f t="shared" si="25"/>
        <v/>
      </c>
      <c r="E411" s="978" t="str">
        <f t="shared" si="25"/>
        <v/>
      </c>
    </row>
    <row r="412" spans="1:5" ht="13.8" hidden="1" thickBot="1" x14ac:dyDescent="0.3">
      <c r="A412" s="890"/>
      <c r="B412" s="883">
        <f t="shared" si="26"/>
        <v>384</v>
      </c>
      <c r="C412" s="908" t="str">
        <f t="shared" si="25"/>
        <v/>
      </c>
      <c r="D412" s="908" t="str">
        <f t="shared" si="25"/>
        <v/>
      </c>
      <c r="E412" s="978" t="str">
        <f t="shared" si="25"/>
        <v/>
      </c>
    </row>
    <row r="413" spans="1:5" ht="13.8" hidden="1" thickBot="1" x14ac:dyDescent="0.3">
      <c r="A413" s="890"/>
      <c r="B413" s="883">
        <f t="shared" si="26"/>
        <v>385</v>
      </c>
      <c r="C413" s="908" t="str">
        <f t="shared" si="25"/>
        <v/>
      </c>
      <c r="D413" s="908" t="str">
        <f t="shared" si="25"/>
        <v/>
      </c>
      <c r="E413" s="978" t="str">
        <f t="shared" si="25"/>
        <v/>
      </c>
    </row>
    <row r="414" spans="1:5" ht="13.8" hidden="1" thickBot="1" x14ac:dyDescent="0.3">
      <c r="A414" s="890"/>
      <c r="B414" s="883">
        <f t="shared" si="26"/>
        <v>386</v>
      </c>
      <c r="C414" s="908" t="str">
        <f t="shared" si="25"/>
        <v/>
      </c>
      <c r="D414" s="908" t="str">
        <f t="shared" si="25"/>
        <v/>
      </c>
      <c r="E414" s="978" t="str">
        <f t="shared" si="25"/>
        <v/>
      </c>
    </row>
    <row r="415" spans="1:5" ht="13.8" hidden="1" thickBot="1" x14ac:dyDescent="0.3">
      <c r="A415" s="890"/>
      <c r="B415" s="883">
        <f t="shared" si="26"/>
        <v>387</v>
      </c>
      <c r="C415" s="908" t="str">
        <f t="shared" si="25"/>
        <v/>
      </c>
      <c r="D415" s="908" t="str">
        <f t="shared" si="25"/>
        <v/>
      </c>
      <c r="E415" s="978" t="str">
        <f t="shared" si="25"/>
        <v/>
      </c>
    </row>
    <row r="416" spans="1:5" ht="13.8" hidden="1" thickBot="1" x14ac:dyDescent="0.3">
      <c r="A416" s="890"/>
      <c r="B416" s="883">
        <f t="shared" si="26"/>
        <v>388</v>
      </c>
      <c r="C416" s="908" t="str">
        <f t="shared" si="25"/>
        <v/>
      </c>
      <c r="D416" s="908" t="str">
        <f t="shared" si="25"/>
        <v/>
      </c>
      <c r="E416" s="978" t="str">
        <f t="shared" si="25"/>
        <v/>
      </c>
    </row>
    <row r="417" spans="1:5" ht="13.8" hidden="1" thickBot="1" x14ac:dyDescent="0.3">
      <c r="A417" s="890"/>
      <c r="B417" s="883">
        <f t="shared" si="26"/>
        <v>389</v>
      </c>
      <c r="C417" s="908" t="str">
        <f t="shared" si="25"/>
        <v/>
      </c>
      <c r="D417" s="908" t="str">
        <f t="shared" si="25"/>
        <v/>
      </c>
      <c r="E417" s="978" t="str">
        <f t="shared" si="25"/>
        <v/>
      </c>
    </row>
    <row r="418" spans="1:5" ht="13.8" hidden="1" thickBot="1" x14ac:dyDescent="0.3">
      <c r="A418" s="890"/>
      <c r="B418" s="883">
        <f t="shared" si="26"/>
        <v>390</v>
      </c>
      <c r="C418" s="908" t="str">
        <f t="shared" si="25"/>
        <v/>
      </c>
      <c r="D418" s="908" t="str">
        <f t="shared" si="25"/>
        <v/>
      </c>
      <c r="E418" s="978" t="str">
        <f t="shared" si="25"/>
        <v/>
      </c>
    </row>
    <row r="419" spans="1:5" ht="13.8" hidden="1" thickBot="1" x14ac:dyDescent="0.3">
      <c r="A419" s="890"/>
      <c r="B419" s="883">
        <f t="shared" si="26"/>
        <v>391</v>
      </c>
      <c r="C419" s="908" t="str">
        <f t="shared" si="25"/>
        <v/>
      </c>
      <c r="D419" s="908" t="str">
        <f t="shared" si="25"/>
        <v/>
      </c>
      <c r="E419" s="978" t="str">
        <f t="shared" si="25"/>
        <v/>
      </c>
    </row>
    <row r="420" spans="1:5" ht="13.8" hidden="1" thickBot="1" x14ac:dyDescent="0.3">
      <c r="A420" s="890"/>
      <c r="B420" s="883">
        <f t="shared" si="26"/>
        <v>392</v>
      </c>
      <c r="C420" s="908" t="str">
        <f t="shared" si="25"/>
        <v/>
      </c>
      <c r="D420" s="908" t="str">
        <f t="shared" si="25"/>
        <v/>
      </c>
      <c r="E420" s="978" t="str">
        <f t="shared" si="25"/>
        <v/>
      </c>
    </row>
    <row r="421" spans="1:5" ht="13.8" hidden="1" thickBot="1" x14ac:dyDescent="0.3">
      <c r="A421" s="890"/>
      <c r="B421" s="883">
        <f t="shared" si="26"/>
        <v>393</v>
      </c>
      <c r="C421" s="908" t="str">
        <f t="shared" si="25"/>
        <v/>
      </c>
      <c r="D421" s="908" t="str">
        <f t="shared" si="25"/>
        <v/>
      </c>
      <c r="E421" s="978" t="str">
        <f t="shared" si="25"/>
        <v/>
      </c>
    </row>
    <row r="422" spans="1:5" ht="13.8" hidden="1" thickBot="1" x14ac:dyDescent="0.3">
      <c r="A422" s="890"/>
      <c r="B422" s="883">
        <f t="shared" si="26"/>
        <v>394</v>
      </c>
      <c r="C422" s="908" t="str">
        <f t="shared" si="25"/>
        <v/>
      </c>
      <c r="D422" s="908" t="str">
        <f t="shared" si="25"/>
        <v/>
      </c>
      <c r="E422" s="978" t="str">
        <f t="shared" si="25"/>
        <v/>
      </c>
    </row>
    <row r="423" spans="1:5" ht="13.8" hidden="1" thickBot="1" x14ac:dyDescent="0.3">
      <c r="A423" s="890"/>
      <c r="B423" s="883">
        <f t="shared" si="26"/>
        <v>395</v>
      </c>
      <c r="C423" s="908" t="str">
        <f t="shared" si="25"/>
        <v/>
      </c>
      <c r="D423" s="908" t="str">
        <f t="shared" si="25"/>
        <v/>
      </c>
      <c r="E423" s="978" t="str">
        <f t="shared" si="25"/>
        <v/>
      </c>
    </row>
    <row r="424" spans="1:5" ht="13.8" hidden="1" thickBot="1" x14ac:dyDescent="0.3">
      <c r="A424" s="890"/>
      <c r="B424" s="883">
        <f t="shared" si="26"/>
        <v>396</v>
      </c>
      <c r="C424" s="908" t="str">
        <f t="shared" si="25"/>
        <v/>
      </c>
      <c r="D424" s="908" t="str">
        <f t="shared" si="25"/>
        <v/>
      </c>
      <c r="E424" s="978" t="str">
        <f t="shared" si="25"/>
        <v/>
      </c>
    </row>
    <row r="425" spans="1:5" ht="13.8" hidden="1" thickBot="1" x14ac:dyDescent="0.3">
      <c r="A425" s="890"/>
      <c r="B425" s="883">
        <f t="shared" si="26"/>
        <v>397</v>
      </c>
      <c r="C425" s="908" t="str">
        <f t="shared" si="25"/>
        <v/>
      </c>
      <c r="D425" s="908" t="str">
        <f t="shared" si="25"/>
        <v/>
      </c>
      <c r="E425" s="978" t="str">
        <f t="shared" si="25"/>
        <v/>
      </c>
    </row>
    <row r="426" spans="1:5" ht="13.8" hidden="1" thickBot="1" x14ac:dyDescent="0.3">
      <c r="A426" s="890"/>
      <c r="B426" s="883">
        <f t="shared" si="26"/>
        <v>398</v>
      </c>
      <c r="C426" s="908" t="str">
        <f t="shared" si="25"/>
        <v/>
      </c>
      <c r="D426" s="908" t="str">
        <f t="shared" si="25"/>
        <v/>
      </c>
      <c r="E426" s="978" t="str">
        <f t="shared" si="25"/>
        <v/>
      </c>
    </row>
    <row r="427" spans="1:5" ht="13.8" hidden="1" thickBot="1" x14ac:dyDescent="0.3">
      <c r="A427" s="890"/>
      <c r="B427" s="883">
        <f t="shared" si="26"/>
        <v>399</v>
      </c>
      <c r="C427" s="908" t="str">
        <f t="shared" si="25"/>
        <v/>
      </c>
      <c r="D427" s="908" t="str">
        <f t="shared" si="25"/>
        <v/>
      </c>
      <c r="E427" s="978" t="str">
        <f t="shared" si="25"/>
        <v/>
      </c>
    </row>
    <row r="428" spans="1:5" ht="13.8" hidden="1" thickBot="1" x14ac:dyDescent="0.3">
      <c r="A428" s="890"/>
      <c r="B428" s="883">
        <f t="shared" si="26"/>
        <v>400</v>
      </c>
      <c r="C428" s="908" t="str">
        <f t="shared" si="25"/>
        <v/>
      </c>
      <c r="D428" s="908" t="str">
        <f t="shared" si="25"/>
        <v/>
      </c>
      <c r="E428" s="978" t="str">
        <f t="shared" si="25"/>
        <v/>
      </c>
    </row>
    <row r="429" spans="1:5" ht="13.8" hidden="1" thickBot="1" x14ac:dyDescent="0.3">
      <c r="A429" s="890"/>
      <c r="B429" s="883">
        <f t="shared" si="26"/>
        <v>401</v>
      </c>
      <c r="C429" s="908" t="str">
        <f t="shared" ref="C429:E448" si="27">IF($B429&gt;$C$11*12,"",C$19)</f>
        <v/>
      </c>
      <c r="D429" s="908" t="str">
        <f t="shared" si="27"/>
        <v/>
      </c>
      <c r="E429" s="978" t="str">
        <f t="shared" si="27"/>
        <v/>
      </c>
    </row>
    <row r="430" spans="1:5" ht="13.8" hidden="1" thickBot="1" x14ac:dyDescent="0.3">
      <c r="A430" s="890"/>
      <c r="B430" s="883">
        <f t="shared" si="26"/>
        <v>402</v>
      </c>
      <c r="C430" s="908" t="str">
        <f t="shared" si="27"/>
        <v/>
      </c>
      <c r="D430" s="908" t="str">
        <f t="shared" si="27"/>
        <v/>
      </c>
      <c r="E430" s="978" t="str">
        <f t="shared" si="27"/>
        <v/>
      </c>
    </row>
    <row r="431" spans="1:5" ht="13.8" hidden="1" thickBot="1" x14ac:dyDescent="0.3">
      <c r="A431" s="890"/>
      <c r="B431" s="883">
        <f t="shared" si="26"/>
        <v>403</v>
      </c>
      <c r="C431" s="908" t="str">
        <f t="shared" si="27"/>
        <v/>
      </c>
      <c r="D431" s="908" t="str">
        <f t="shared" si="27"/>
        <v/>
      </c>
      <c r="E431" s="978" t="str">
        <f t="shared" si="27"/>
        <v/>
      </c>
    </row>
    <row r="432" spans="1:5" ht="13.8" hidden="1" thickBot="1" x14ac:dyDescent="0.3">
      <c r="A432" s="890"/>
      <c r="B432" s="883">
        <f t="shared" si="26"/>
        <v>404</v>
      </c>
      <c r="C432" s="908" t="str">
        <f t="shared" si="27"/>
        <v/>
      </c>
      <c r="D432" s="908" t="str">
        <f t="shared" si="27"/>
        <v/>
      </c>
      <c r="E432" s="978" t="str">
        <f t="shared" si="27"/>
        <v/>
      </c>
    </row>
    <row r="433" spans="1:5" ht="13.8" hidden="1" thickBot="1" x14ac:dyDescent="0.3">
      <c r="A433" s="890"/>
      <c r="B433" s="883">
        <f t="shared" si="26"/>
        <v>405</v>
      </c>
      <c r="C433" s="908" t="str">
        <f t="shared" si="27"/>
        <v/>
      </c>
      <c r="D433" s="908" t="str">
        <f t="shared" si="27"/>
        <v/>
      </c>
      <c r="E433" s="978" t="str">
        <f t="shared" si="27"/>
        <v/>
      </c>
    </row>
    <row r="434" spans="1:5" ht="13.8" hidden="1" thickBot="1" x14ac:dyDescent="0.3">
      <c r="A434" s="890"/>
      <c r="B434" s="883">
        <f t="shared" si="26"/>
        <v>406</v>
      </c>
      <c r="C434" s="908" t="str">
        <f t="shared" si="27"/>
        <v/>
      </c>
      <c r="D434" s="908" t="str">
        <f t="shared" si="27"/>
        <v/>
      </c>
      <c r="E434" s="978" t="str">
        <f t="shared" si="27"/>
        <v/>
      </c>
    </row>
    <row r="435" spans="1:5" ht="13.8" hidden="1" thickBot="1" x14ac:dyDescent="0.3">
      <c r="A435" s="890"/>
      <c r="B435" s="883">
        <f t="shared" si="26"/>
        <v>407</v>
      </c>
      <c r="C435" s="908" t="str">
        <f t="shared" si="27"/>
        <v/>
      </c>
      <c r="D435" s="908" t="str">
        <f t="shared" si="27"/>
        <v/>
      </c>
      <c r="E435" s="978" t="str">
        <f t="shared" si="27"/>
        <v/>
      </c>
    </row>
    <row r="436" spans="1:5" ht="13.8" hidden="1" thickBot="1" x14ac:dyDescent="0.3">
      <c r="A436" s="890"/>
      <c r="B436" s="883">
        <f t="shared" si="26"/>
        <v>408</v>
      </c>
      <c r="C436" s="908" t="str">
        <f t="shared" si="27"/>
        <v/>
      </c>
      <c r="D436" s="908" t="str">
        <f t="shared" si="27"/>
        <v/>
      </c>
      <c r="E436" s="978" t="str">
        <f t="shared" si="27"/>
        <v/>
      </c>
    </row>
    <row r="437" spans="1:5" ht="13.8" hidden="1" thickBot="1" x14ac:dyDescent="0.3">
      <c r="A437" s="890"/>
      <c r="B437" s="883">
        <f t="shared" si="26"/>
        <v>409</v>
      </c>
      <c r="C437" s="908" t="str">
        <f t="shared" si="27"/>
        <v/>
      </c>
      <c r="D437" s="908" t="str">
        <f t="shared" si="27"/>
        <v/>
      </c>
      <c r="E437" s="978" t="str">
        <f t="shared" si="27"/>
        <v/>
      </c>
    </row>
    <row r="438" spans="1:5" ht="13.8" hidden="1" thickBot="1" x14ac:dyDescent="0.3">
      <c r="A438" s="890"/>
      <c r="B438" s="883">
        <f t="shared" si="26"/>
        <v>410</v>
      </c>
      <c r="C438" s="908" t="str">
        <f t="shared" si="27"/>
        <v/>
      </c>
      <c r="D438" s="908" t="str">
        <f t="shared" si="27"/>
        <v/>
      </c>
      <c r="E438" s="978" t="str">
        <f t="shared" si="27"/>
        <v/>
      </c>
    </row>
    <row r="439" spans="1:5" ht="13.8" hidden="1" thickBot="1" x14ac:dyDescent="0.3">
      <c r="A439" s="890"/>
      <c r="B439" s="883">
        <f t="shared" si="26"/>
        <v>411</v>
      </c>
      <c r="C439" s="908" t="str">
        <f t="shared" si="27"/>
        <v/>
      </c>
      <c r="D439" s="908" t="str">
        <f t="shared" si="27"/>
        <v/>
      </c>
      <c r="E439" s="978" t="str">
        <f t="shared" si="27"/>
        <v/>
      </c>
    </row>
    <row r="440" spans="1:5" ht="13.8" hidden="1" thickBot="1" x14ac:dyDescent="0.3">
      <c r="A440" s="890"/>
      <c r="B440" s="883">
        <f t="shared" si="26"/>
        <v>412</v>
      </c>
      <c r="C440" s="908" t="str">
        <f t="shared" si="27"/>
        <v/>
      </c>
      <c r="D440" s="908" t="str">
        <f t="shared" si="27"/>
        <v/>
      </c>
      <c r="E440" s="978" t="str">
        <f t="shared" si="27"/>
        <v/>
      </c>
    </row>
    <row r="441" spans="1:5" ht="13.8" hidden="1" thickBot="1" x14ac:dyDescent="0.3">
      <c r="A441" s="890"/>
      <c r="B441" s="883">
        <f t="shared" si="26"/>
        <v>413</v>
      </c>
      <c r="C441" s="908" t="str">
        <f t="shared" si="27"/>
        <v/>
      </c>
      <c r="D441" s="908" t="str">
        <f t="shared" si="27"/>
        <v/>
      </c>
      <c r="E441" s="978" t="str">
        <f t="shared" si="27"/>
        <v/>
      </c>
    </row>
    <row r="442" spans="1:5" ht="13.8" hidden="1" thickBot="1" x14ac:dyDescent="0.3">
      <c r="A442" s="890"/>
      <c r="B442" s="883">
        <f t="shared" si="26"/>
        <v>414</v>
      </c>
      <c r="C442" s="908" t="str">
        <f t="shared" si="27"/>
        <v/>
      </c>
      <c r="D442" s="908" t="str">
        <f t="shared" si="27"/>
        <v/>
      </c>
      <c r="E442" s="978" t="str">
        <f t="shared" si="27"/>
        <v/>
      </c>
    </row>
    <row r="443" spans="1:5" ht="13.8" hidden="1" thickBot="1" x14ac:dyDescent="0.3">
      <c r="A443" s="890"/>
      <c r="B443" s="883">
        <f t="shared" si="26"/>
        <v>415</v>
      </c>
      <c r="C443" s="908" t="str">
        <f t="shared" si="27"/>
        <v/>
      </c>
      <c r="D443" s="908" t="str">
        <f t="shared" si="27"/>
        <v/>
      </c>
      <c r="E443" s="978" t="str">
        <f t="shared" si="27"/>
        <v/>
      </c>
    </row>
    <row r="444" spans="1:5" ht="13.8" hidden="1" thickBot="1" x14ac:dyDescent="0.3">
      <c r="A444" s="890"/>
      <c r="B444" s="883">
        <f t="shared" si="26"/>
        <v>416</v>
      </c>
      <c r="C444" s="908" t="str">
        <f t="shared" si="27"/>
        <v/>
      </c>
      <c r="D444" s="908" t="str">
        <f t="shared" si="27"/>
        <v/>
      </c>
      <c r="E444" s="978" t="str">
        <f t="shared" si="27"/>
        <v/>
      </c>
    </row>
    <row r="445" spans="1:5" ht="13.8" hidden="1" thickBot="1" x14ac:dyDescent="0.3">
      <c r="A445" s="890"/>
      <c r="B445" s="883">
        <f t="shared" si="26"/>
        <v>417</v>
      </c>
      <c r="C445" s="908" t="str">
        <f t="shared" si="27"/>
        <v/>
      </c>
      <c r="D445" s="908" t="str">
        <f t="shared" si="27"/>
        <v/>
      </c>
      <c r="E445" s="978" t="str">
        <f t="shared" si="27"/>
        <v/>
      </c>
    </row>
    <row r="446" spans="1:5" ht="13.8" hidden="1" thickBot="1" x14ac:dyDescent="0.3">
      <c r="A446" s="890"/>
      <c r="B446" s="883">
        <f t="shared" si="26"/>
        <v>418</v>
      </c>
      <c r="C446" s="908" t="str">
        <f t="shared" si="27"/>
        <v/>
      </c>
      <c r="D446" s="908" t="str">
        <f t="shared" si="27"/>
        <v/>
      </c>
      <c r="E446" s="978" t="str">
        <f t="shared" si="27"/>
        <v/>
      </c>
    </row>
    <row r="447" spans="1:5" ht="13.8" hidden="1" thickBot="1" x14ac:dyDescent="0.3">
      <c r="A447" s="890"/>
      <c r="B447" s="883">
        <f t="shared" si="26"/>
        <v>419</v>
      </c>
      <c r="C447" s="908" t="str">
        <f t="shared" si="27"/>
        <v/>
      </c>
      <c r="D447" s="908" t="str">
        <f t="shared" si="27"/>
        <v/>
      </c>
      <c r="E447" s="978" t="str">
        <f t="shared" si="27"/>
        <v/>
      </c>
    </row>
    <row r="448" spans="1:5" ht="13.8" hidden="1" thickBot="1" x14ac:dyDescent="0.3">
      <c r="A448" s="890"/>
      <c r="B448" s="883">
        <f t="shared" si="26"/>
        <v>420</v>
      </c>
      <c r="C448" s="908" t="str">
        <f t="shared" si="27"/>
        <v/>
      </c>
      <c r="D448" s="908" t="str">
        <f t="shared" si="27"/>
        <v/>
      </c>
      <c r="E448" s="978" t="str">
        <f t="shared" si="27"/>
        <v/>
      </c>
    </row>
    <row r="449" spans="1:5" ht="13.8" hidden="1" thickBot="1" x14ac:dyDescent="0.3">
      <c r="A449" s="890"/>
      <c r="B449" s="883">
        <f t="shared" si="26"/>
        <v>421</v>
      </c>
      <c r="C449" s="908" t="str">
        <f t="shared" ref="C449:E468" si="28">IF($B449&gt;$C$11*12,"",C$19)</f>
        <v/>
      </c>
      <c r="D449" s="908" t="str">
        <f t="shared" si="28"/>
        <v/>
      </c>
      <c r="E449" s="978" t="str">
        <f t="shared" si="28"/>
        <v/>
      </c>
    </row>
    <row r="450" spans="1:5" ht="13.8" hidden="1" thickBot="1" x14ac:dyDescent="0.3">
      <c r="A450" s="890"/>
      <c r="B450" s="883">
        <f t="shared" si="26"/>
        <v>422</v>
      </c>
      <c r="C450" s="908" t="str">
        <f t="shared" si="28"/>
        <v/>
      </c>
      <c r="D450" s="908" t="str">
        <f t="shared" si="28"/>
        <v/>
      </c>
      <c r="E450" s="978" t="str">
        <f t="shared" si="28"/>
        <v/>
      </c>
    </row>
    <row r="451" spans="1:5" ht="13.8" hidden="1" thickBot="1" x14ac:dyDescent="0.3">
      <c r="A451" s="890"/>
      <c r="B451" s="883">
        <f t="shared" si="26"/>
        <v>423</v>
      </c>
      <c r="C451" s="908" t="str">
        <f t="shared" si="28"/>
        <v/>
      </c>
      <c r="D451" s="908" t="str">
        <f t="shared" si="28"/>
        <v/>
      </c>
      <c r="E451" s="978" t="str">
        <f t="shared" si="28"/>
        <v/>
      </c>
    </row>
    <row r="452" spans="1:5" ht="13.8" hidden="1" thickBot="1" x14ac:dyDescent="0.3">
      <c r="A452" s="890"/>
      <c r="B452" s="883">
        <f t="shared" si="26"/>
        <v>424</v>
      </c>
      <c r="C452" s="908" t="str">
        <f t="shared" si="28"/>
        <v/>
      </c>
      <c r="D452" s="908" t="str">
        <f t="shared" si="28"/>
        <v/>
      </c>
      <c r="E452" s="978" t="str">
        <f t="shared" si="28"/>
        <v/>
      </c>
    </row>
    <row r="453" spans="1:5" ht="13.8" hidden="1" thickBot="1" x14ac:dyDescent="0.3">
      <c r="A453" s="890"/>
      <c r="B453" s="883">
        <f t="shared" si="26"/>
        <v>425</v>
      </c>
      <c r="C453" s="908" t="str">
        <f t="shared" si="28"/>
        <v/>
      </c>
      <c r="D453" s="908" t="str">
        <f t="shared" si="28"/>
        <v/>
      </c>
      <c r="E453" s="978" t="str">
        <f t="shared" si="28"/>
        <v/>
      </c>
    </row>
    <row r="454" spans="1:5" ht="13.8" hidden="1" thickBot="1" x14ac:dyDescent="0.3">
      <c r="A454" s="890"/>
      <c r="B454" s="883">
        <f t="shared" si="26"/>
        <v>426</v>
      </c>
      <c r="C454" s="908" t="str">
        <f t="shared" si="28"/>
        <v/>
      </c>
      <c r="D454" s="908" t="str">
        <f t="shared" si="28"/>
        <v/>
      </c>
      <c r="E454" s="978" t="str">
        <f t="shared" si="28"/>
        <v/>
      </c>
    </row>
    <row r="455" spans="1:5" ht="13.8" hidden="1" thickBot="1" x14ac:dyDescent="0.3">
      <c r="A455" s="890"/>
      <c r="B455" s="883">
        <f t="shared" si="26"/>
        <v>427</v>
      </c>
      <c r="C455" s="908" t="str">
        <f t="shared" si="28"/>
        <v/>
      </c>
      <c r="D455" s="908" t="str">
        <f t="shared" si="28"/>
        <v/>
      </c>
      <c r="E455" s="978" t="str">
        <f t="shared" si="28"/>
        <v/>
      </c>
    </row>
    <row r="456" spans="1:5" ht="13.8" hidden="1" thickBot="1" x14ac:dyDescent="0.3">
      <c r="A456" s="890"/>
      <c r="B456" s="883">
        <f t="shared" si="26"/>
        <v>428</v>
      </c>
      <c r="C456" s="908" t="str">
        <f t="shared" si="28"/>
        <v/>
      </c>
      <c r="D456" s="908" t="str">
        <f t="shared" si="28"/>
        <v/>
      </c>
      <c r="E456" s="978" t="str">
        <f t="shared" si="28"/>
        <v/>
      </c>
    </row>
    <row r="457" spans="1:5" ht="13.8" hidden="1" thickBot="1" x14ac:dyDescent="0.3">
      <c r="A457" s="890"/>
      <c r="B457" s="883">
        <f t="shared" si="26"/>
        <v>429</v>
      </c>
      <c r="C457" s="908" t="str">
        <f t="shared" si="28"/>
        <v/>
      </c>
      <c r="D457" s="908" t="str">
        <f t="shared" si="28"/>
        <v/>
      </c>
      <c r="E457" s="978" t="str">
        <f t="shared" si="28"/>
        <v/>
      </c>
    </row>
    <row r="458" spans="1:5" ht="13.8" hidden="1" thickBot="1" x14ac:dyDescent="0.3">
      <c r="A458" s="890"/>
      <c r="B458" s="883">
        <f t="shared" si="26"/>
        <v>430</v>
      </c>
      <c r="C458" s="908" t="str">
        <f t="shared" si="28"/>
        <v/>
      </c>
      <c r="D458" s="908" t="str">
        <f t="shared" si="28"/>
        <v/>
      </c>
      <c r="E458" s="978" t="str">
        <f t="shared" si="28"/>
        <v/>
      </c>
    </row>
    <row r="459" spans="1:5" ht="13.8" hidden="1" thickBot="1" x14ac:dyDescent="0.3">
      <c r="A459" s="890"/>
      <c r="B459" s="883">
        <f t="shared" si="26"/>
        <v>431</v>
      </c>
      <c r="C459" s="908" t="str">
        <f t="shared" si="28"/>
        <v/>
      </c>
      <c r="D459" s="908" t="str">
        <f t="shared" si="28"/>
        <v/>
      </c>
      <c r="E459" s="978" t="str">
        <f t="shared" si="28"/>
        <v/>
      </c>
    </row>
    <row r="460" spans="1:5" ht="13.8" hidden="1" thickBot="1" x14ac:dyDescent="0.3">
      <c r="A460" s="890"/>
      <c r="B460" s="883">
        <f t="shared" si="26"/>
        <v>432</v>
      </c>
      <c r="C460" s="908" t="str">
        <f t="shared" si="28"/>
        <v/>
      </c>
      <c r="D460" s="908" t="str">
        <f t="shared" si="28"/>
        <v/>
      </c>
      <c r="E460" s="978" t="str">
        <f t="shared" si="28"/>
        <v/>
      </c>
    </row>
    <row r="461" spans="1:5" ht="13.8" hidden="1" thickBot="1" x14ac:dyDescent="0.3">
      <c r="A461" s="890"/>
      <c r="B461" s="883">
        <f t="shared" si="26"/>
        <v>433</v>
      </c>
      <c r="C461" s="908" t="str">
        <f t="shared" si="28"/>
        <v/>
      </c>
      <c r="D461" s="908" t="str">
        <f t="shared" si="28"/>
        <v/>
      </c>
      <c r="E461" s="978" t="str">
        <f t="shared" si="28"/>
        <v/>
      </c>
    </row>
    <row r="462" spans="1:5" ht="13.8" hidden="1" thickBot="1" x14ac:dyDescent="0.3">
      <c r="A462" s="890"/>
      <c r="B462" s="883">
        <f t="shared" si="26"/>
        <v>434</v>
      </c>
      <c r="C462" s="908" t="str">
        <f t="shared" si="28"/>
        <v/>
      </c>
      <c r="D462" s="908" t="str">
        <f t="shared" si="28"/>
        <v/>
      </c>
      <c r="E462" s="978" t="str">
        <f t="shared" si="28"/>
        <v/>
      </c>
    </row>
    <row r="463" spans="1:5" ht="13.8" hidden="1" thickBot="1" x14ac:dyDescent="0.3">
      <c r="A463" s="890"/>
      <c r="B463" s="883">
        <f t="shared" si="26"/>
        <v>435</v>
      </c>
      <c r="C463" s="908" t="str">
        <f t="shared" si="28"/>
        <v/>
      </c>
      <c r="D463" s="908" t="str">
        <f t="shared" si="28"/>
        <v/>
      </c>
      <c r="E463" s="978" t="str">
        <f t="shared" si="28"/>
        <v/>
      </c>
    </row>
    <row r="464" spans="1:5" ht="13.8" hidden="1" thickBot="1" x14ac:dyDescent="0.3">
      <c r="A464" s="890"/>
      <c r="B464" s="883">
        <f t="shared" si="26"/>
        <v>436</v>
      </c>
      <c r="C464" s="908" t="str">
        <f t="shared" si="28"/>
        <v/>
      </c>
      <c r="D464" s="908" t="str">
        <f t="shared" si="28"/>
        <v/>
      </c>
      <c r="E464" s="978" t="str">
        <f t="shared" si="28"/>
        <v/>
      </c>
    </row>
    <row r="465" spans="1:5" ht="13.8" hidden="1" thickBot="1" x14ac:dyDescent="0.3">
      <c r="A465" s="890"/>
      <c r="B465" s="883">
        <f t="shared" si="26"/>
        <v>437</v>
      </c>
      <c r="C465" s="908" t="str">
        <f t="shared" si="28"/>
        <v/>
      </c>
      <c r="D465" s="908" t="str">
        <f t="shared" si="28"/>
        <v/>
      </c>
      <c r="E465" s="978" t="str">
        <f t="shared" si="28"/>
        <v/>
      </c>
    </row>
    <row r="466" spans="1:5" ht="13.8" hidden="1" thickBot="1" x14ac:dyDescent="0.3">
      <c r="A466" s="890"/>
      <c r="B466" s="883">
        <f t="shared" si="26"/>
        <v>438</v>
      </c>
      <c r="C466" s="908" t="str">
        <f t="shared" si="28"/>
        <v/>
      </c>
      <c r="D466" s="908" t="str">
        <f t="shared" si="28"/>
        <v/>
      </c>
      <c r="E466" s="978" t="str">
        <f t="shared" si="28"/>
        <v/>
      </c>
    </row>
    <row r="467" spans="1:5" ht="13.8" hidden="1" thickBot="1" x14ac:dyDescent="0.3">
      <c r="A467" s="890"/>
      <c r="B467" s="883">
        <f t="shared" si="26"/>
        <v>439</v>
      </c>
      <c r="C467" s="908" t="str">
        <f t="shared" si="28"/>
        <v/>
      </c>
      <c r="D467" s="908" t="str">
        <f t="shared" si="28"/>
        <v/>
      </c>
      <c r="E467" s="978" t="str">
        <f t="shared" si="28"/>
        <v/>
      </c>
    </row>
    <row r="468" spans="1:5" ht="13.8" hidden="1" thickBot="1" x14ac:dyDescent="0.3">
      <c r="A468" s="890"/>
      <c r="B468" s="883">
        <f t="shared" si="26"/>
        <v>440</v>
      </c>
      <c r="C468" s="908" t="str">
        <f t="shared" si="28"/>
        <v/>
      </c>
      <c r="D468" s="908" t="str">
        <f t="shared" si="28"/>
        <v/>
      </c>
      <c r="E468" s="978" t="str">
        <f t="shared" si="28"/>
        <v/>
      </c>
    </row>
    <row r="469" spans="1:5" ht="13.8" hidden="1" thickBot="1" x14ac:dyDescent="0.3">
      <c r="A469" s="890"/>
      <c r="B469" s="883">
        <f t="shared" si="26"/>
        <v>441</v>
      </c>
      <c r="C469" s="908" t="str">
        <f t="shared" ref="C469:E488" si="29">IF($B469&gt;$C$11*12,"",C$19)</f>
        <v/>
      </c>
      <c r="D469" s="908" t="str">
        <f t="shared" si="29"/>
        <v/>
      </c>
      <c r="E469" s="978" t="str">
        <f t="shared" si="29"/>
        <v/>
      </c>
    </row>
    <row r="470" spans="1:5" ht="13.8" hidden="1" thickBot="1" x14ac:dyDescent="0.3">
      <c r="A470" s="890"/>
      <c r="B470" s="883">
        <f t="shared" si="26"/>
        <v>442</v>
      </c>
      <c r="C470" s="908" t="str">
        <f t="shared" si="29"/>
        <v/>
      </c>
      <c r="D470" s="908" t="str">
        <f t="shared" si="29"/>
        <v/>
      </c>
      <c r="E470" s="978" t="str">
        <f t="shared" si="29"/>
        <v/>
      </c>
    </row>
    <row r="471" spans="1:5" ht="13.8" hidden="1" thickBot="1" x14ac:dyDescent="0.3">
      <c r="A471" s="890"/>
      <c r="B471" s="883">
        <f t="shared" si="26"/>
        <v>443</v>
      </c>
      <c r="C471" s="908" t="str">
        <f t="shared" si="29"/>
        <v/>
      </c>
      <c r="D471" s="908" t="str">
        <f t="shared" si="29"/>
        <v/>
      </c>
      <c r="E471" s="978" t="str">
        <f t="shared" si="29"/>
        <v/>
      </c>
    </row>
    <row r="472" spans="1:5" ht="13.8" hidden="1" thickBot="1" x14ac:dyDescent="0.3">
      <c r="A472" s="890"/>
      <c r="B472" s="883">
        <f t="shared" si="26"/>
        <v>444</v>
      </c>
      <c r="C472" s="908" t="str">
        <f t="shared" si="29"/>
        <v/>
      </c>
      <c r="D472" s="908" t="str">
        <f t="shared" si="29"/>
        <v/>
      </c>
      <c r="E472" s="978" t="str">
        <f t="shared" si="29"/>
        <v/>
      </c>
    </row>
    <row r="473" spans="1:5" ht="13.8" hidden="1" thickBot="1" x14ac:dyDescent="0.3">
      <c r="A473" s="890"/>
      <c r="B473" s="883">
        <f t="shared" si="26"/>
        <v>445</v>
      </c>
      <c r="C473" s="908" t="str">
        <f t="shared" si="29"/>
        <v/>
      </c>
      <c r="D473" s="908" t="str">
        <f t="shared" si="29"/>
        <v/>
      </c>
      <c r="E473" s="978" t="str">
        <f t="shared" si="29"/>
        <v/>
      </c>
    </row>
    <row r="474" spans="1:5" ht="13.8" hidden="1" thickBot="1" x14ac:dyDescent="0.3">
      <c r="A474" s="890"/>
      <c r="B474" s="883">
        <f t="shared" ref="B474:B537" si="30">B473+1</f>
        <v>446</v>
      </c>
      <c r="C474" s="908" t="str">
        <f t="shared" si="29"/>
        <v/>
      </c>
      <c r="D474" s="908" t="str">
        <f t="shared" si="29"/>
        <v/>
      </c>
      <c r="E474" s="978" t="str">
        <f t="shared" si="29"/>
        <v/>
      </c>
    </row>
    <row r="475" spans="1:5" ht="13.8" hidden="1" thickBot="1" x14ac:dyDescent="0.3">
      <c r="A475" s="890"/>
      <c r="B475" s="883">
        <f t="shared" si="30"/>
        <v>447</v>
      </c>
      <c r="C475" s="908" t="str">
        <f t="shared" si="29"/>
        <v/>
      </c>
      <c r="D475" s="908" t="str">
        <f t="shared" si="29"/>
        <v/>
      </c>
      <c r="E475" s="978" t="str">
        <f t="shared" si="29"/>
        <v/>
      </c>
    </row>
    <row r="476" spans="1:5" ht="13.8" hidden="1" thickBot="1" x14ac:dyDescent="0.3">
      <c r="A476" s="890"/>
      <c r="B476" s="883">
        <f t="shared" si="30"/>
        <v>448</v>
      </c>
      <c r="C476" s="908" t="str">
        <f t="shared" si="29"/>
        <v/>
      </c>
      <c r="D476" s="908" t="str">
        <f t="shared" si="29"/>
        <v/>
      </c>
      <c r="E476" s="978" t="str">
        <f t="shared" si="29"/>
        <v/>
      </c>
    </row>
    <row r="477" spans="1:5" ht="13.8" hidden="1" thickBot="1" x14ac:dyDescent="0.3">
      <c r="A477" s="890"/>
      <c r="B477" s="883">
        <f t="shared" si="30"/>
        <v>449</v>
      </c>
      <c r="C477" s="908" t="str">
        <f t="shared" si="29"/>
        <v/>
      </c>
      <c r="D477" s="908" t="str">
        <f t="shared" si="29"/>
        <v/>
      </c>
      <c r="E477" s="978" t="str">
        <f t="shared" si="29"/>
        <v/>
      </c>
    </row>
    <row r="478" spans="1:5" ht="13.8" hidden="1" thickBot="1" x14ac:dyDescent="0.3">
      <c r="A478" s="890"/>
      <c r="B478" s="883">
        <f t="shared" si="30"/>
        <v>450</v>
      </c>
      <c r="C478" s="908" t="str">
        <f t="shared" si="29"/>
        <v/>
      </c>
      <c r="D478" s="908" t="str">
        <f t="shared" si="29"/>
        <v/>
      </c>
      <c r="E478" s="978" t="str">
        <f t="shared" si="29"/>
        <v/>
      </c>
    </row>
    <row r="479" spans="1:5" ht="13.8" hidden="1" thickBot="1" x14ac:dyDescent="0.3">
      <c r="A479" s="890"/>
      <c r="B479" s="883">
        <f t="shared" si="30"/>
        <v>451</v>
      </c>
      <c r="C479" s="908" t="str">
        <f t="shared" si="29"/>
        <v/>
      </c>
      <c r="D479" s="908" t="str">
        <f t="shared" si="29"/>
        <v/>
      </c>
      <c r="E479" s="978" t="str">
        <f t="shared" si="29"/>
        <v/>
      </c>
    </row>
    <row r="480" spans="1:5" ht="13.8" hidden="1" thickBot="1" x14ac:dyDescent="0.3">
      <c r="A480" s="890"/>
      <c r="B480" s="883">
        <f t="shared" si="30"/>
        <v>452</v>
      </c>
      <c r="C480" s="908" t="str">
        <f t="shared" si="29"/>
        <v/>
      </c>
      <c r="D480" s="908" t="str">
        <f t="shared" si="29"/>
        <v/>
      </c>
      <c r="E480" s="978" t="str">
        <f t="shared" si="29"/>
        <v/>
      </c>
    </row>
    <row r="481" spans="1:5" ht="13.8" hidden="1" thickBot="1" x14ac:dyDescent="0.3">
      <c r="A481" s="890"/>
      <c r="B481" s="883">
        <f t="shared" si="30"/>
        <v>453</v>
      </c>
      <c r="C481" s="908" t="str">
        <f t="shared" si="29"/>
        <v/>
      </c>
      <c r="D481" s="908" t="str">
        <f t="shared" si="29"/>
        <v/>
      </c>
      <c r="E481" s="978" t="str">
        <f t="shared" si="29"/>
        <v/>
      </c>
    </row>
    <row r="482" spans="1:5" ht="13.8" hidden="1" thickBot="1" x14ac:dyDescent="0.3">
      <c r="A482" s="890"/>
      <c r="B482" s="883">
        <f t="shared" si="30"/>
        <v>454</v>
      </c>
      <c r="C482" s="908" t="str">
        <f t="shared" si="29"/>
        <v/>
      </c>
      <c r="D482" s="908" t="str">
        <f t="shared" si="29"/>
        <v/>
      </c>
      <c r="E482" s="978" t="str">
        <f t="shared" si="29"/>
        <v/>
      </c>
    </row>
    <row r="483" spans="1:5" ht="13.8" hidden="1" thickBot="1" x14ac:dyDescent="0.3">
      <c r="A483" s="890"/>
      <c r="B483" s="883">
        <f t="shared" si="30"/>
        <v>455</v>
      </c>
      <c r="C483" s="908" t="str">
        <f t="shared" si="29"/>
        <v/>
      </c>
      <c r="D483" s="908" t="str">
        <f t="shared" si="29"/>
        <v/>
      </c>
      <c r="E483" s="978" t="str">
        <f t="shared" si="29"/>
        <v/>
      </c>
    </row>
    <row r="484" spans="1:5" ht="13.8" hidden="1" thickBot="1" x14ac:dyDescent="0.3">
      <c r="A484" s="890"/>
      <c r="B484" s="883">
        <f t="shared" si="30"/>
        <v>456</v>
      </c>
      <c r="C484" s="908" t="str">
        <f t="shared" si="29"/>
        <v/>
      </c>
      <c r="D484" s="908" t="str">
        <f t="shared" si="29"/>
        <v/>
      </c>
      <c r="E484" s="978" t="str">
        <f t="shared" si="29"/>
        <v/>
      </c>
    </row>
    <row r="485" spans="1:5" ht="13.8" hidden="1" thickBot="1" x14ac:dyDescent="0.3">
      <c r="A485" s="890"/>
      <c r="B485" s="883">
        <f t="shared" si="30"/>
        <v>457</v>
      </c>
      <c r="C485" s="908" t="str">
        <f t="shared" si="29"/>
        <v/>
      </c>
      <c r="D485" s="908" t="str">
        <f t="shared" si="29"/>
        <v/>
      </c>
      <c r="E485" s="978" t="str">
        <f t="shared" si="29"/>
        <v/>
      </c>
    </row>
    <row r="486" spans="1:5" ht="13.8" hidden="1" thickBot="1" x14ac:dyDescent="0.3">
      <c r="A486" s="890"/>
      <c r="B486" s="883">
        <f t="shared" si="30"/>
        <v>458</v>
      </c>
      <c r="C486" s="908" t="str">
        <f t="shared" si="29"/>
        <v/>
      </c>
      <c r="D486" s="908" t="str">
        <f t="shared" si="29"/>
        <v/>
      </c>
      <c r="E486" s="978" t="str">
        <f t="shared" si="29"/>
        <v/>
      </c>
    </row>
    <row r="487" spans="1:5" ht="13.8" hidden="1" thickBot="1" x14ac:dyDescent="0.3">
      <c r="A487" s="890"/>
      <c r="B487" s="883">
        <f t="shared" si="30"/>
        <v>459</v>
      </c>
      <c r="C487" s="908" t="str">
        <f t="shared" si="29"/>
        <v/>
      </c>
      <c r="D487" s="908" t="str">
        <f t="shared" si="29"/>
        <v/>
      </c>
      <c r="E487" s="978" t="str">
        <f t="shared" si="29"/>
        <v/>
      </c>
    </row>
    <row r="488" spans="1:5" ht="13.8" hidden="1" thickBot="1" x14ac:dyDescent="0.3">
      <c r="A488" s="890"/>
      <c r="B488" s="883">
        <f t="shared" si="30"/>
        <v>460</v>
      </c>
      <c r="C488" s="908" t="str">
        <f t="shared" si="29"/>
        <v/>
      </c>
      <c r="D488" s="908" t="str">
        <f t="shared" si="29"/>
        <v/>
      </c>
      <c r="E488" s="978" t="str">
        <f t="shared" si="29"/>
        <v/>
      </c>
    </row>
    <row r="489" spans="1:5" ht="13.8" hidden="1" thickBot="1" x14ac:dyDescent="0.3">
      <c r="A489" s="890"/>
      <c r="B489" s="883">
        <f t="shared" si="30"/>
        <v>461</v>
      </c>
      <c r="C489" s="908" t="str">
        <f t="shared" ref="C489:E508" si="31">IF($B489&gt;$C$11*12,"",C$19)</f>
        <v/>
      </c>
      <c r="D489" s="908" t="str">
        <f t="shared" si="31"/>
        <v/>
      </c>
      <c r="E489" s="978" t="str">
        <f t="shared" si="31"/>
        <v/>
      </c>
    </row>
    <row r="490" spans="1:5" ht="13.8" hidden="1" thickBot="1" x14ac:dyDescent="0.3">
      <c r="A490" s="890"/>
      <c r="B490" s="883">
        <f t="shared" si="30"/>
        <v>462</v>
      </c>
      <c r="C490" s="908" t="str">
        <f t="shared" si="31"/>
        <v/>
      </c>
      <c r="D490" s="908" t="str">
        <f t="shared" si="31"/>
        <v/>
      </c>
      <c r="E490" s="978" t="str">
        <f t="shared" si="31"/>
        <v/>
      </c>
    </row>
    <row r="491" spans="1:5" ht="13.8" hidden="1" thickBot="1" x14ac:dyDescent="0.3">
      <c r="A491" s="890"/>
      <c r="B491" s="883">
        <f t="shared" si="30"/>
        <v>463</v>
      </c>
      <c r="C491" s="908" t="str">
        <f t="shared" si="31"/>
        <v/>
      </c>
      <c r="D491" s="908" t="str">
        <f t="shared" si="31"/>
        <v/>
      </c>
      <c r="E491" s="978" t="str">
        <f t="shared" si="31"/>
        <v/>
      </c>
    </row>
    <row r="492" spans="1:5" ht="13.8" hidden="1" thickBot="1" x14ac:dyDescent="0.3">
      <c r="A492" s="890"/>
      <c r="B492" s="883">
        <f t="shared" si="30"/>
        <v>464</v>
      </c>
      <c r="C492" s="908" t="str">
        <f t="shared" si="31"/>
        <v/>
      </c>
      <c r="D492" s="908" t="str">
        <f t="shared" si="31"/>
        <v/>
      </c>
      <c r="E492" s="978" t="str">
        <f t="shared" si="31"/>
        <v/>
      </c>
    </row>
    <row r="493" spans="1:5" ht="13.8" hidden="1" thickBot="1" x14ac:dyDescent="0.3">
      <c r="A493" s="890"/>
      <c r="B493" s="883">
        <f t="shared" si="30"/>
        <v>465</v>
      </c>
      <c r="C493" s="908" t="str">
        <f t="shared" si="31"/>
        <v/>
      </c>
      <c r="D493" s="908" t="str">
        <f t="shared" si="31"/>
        <v/>
      </c>
      <c r="E493" s="978" t="str">
        <f t="shared" si="31"/>
        <v/>
      </c>
    </row>
    <row r="494" spans="1:5" ht="13.8" hidden="1" thickBot="1" x14ac:dyDescent="0.3">
      <c r="A494" s="890"/>
      <c r="B494" s="883">
        <f t="shared" si="30"/>
        <v>466</v>
      </c>
      <c r="C494" s="908" t="str">
        <f t="shared" si="31"/>
        <v/>
      </c>
      <c r="D494" s="908" t="str">
        <f t="shared" si="31"/>
        <v/>
      </c>
      <c r="E494" s="978" t="str">
        <f t="shared" si="31"/>
        <v/>
      </c>
    </row>
    <row r="495" spans="1:5" ht="13.8" hidden="1" thickBot="1" x14ac:dyDescent="0.3">
      <c r="A495" s="890"/>
      <c r="B495" s="883">
        <f t="shared" si="30"/>
        <v>467</v>
      </c>
      <c r="C495" s="908" t="str">
        <f t="shared" si="31"/>
        <v/>
      </c>
      <c r="D495" s="908" t="str">
        <f t="shared" si="31"/>
        <v/>
      </c>
      <c r="E495" s="978" t="str">
        <f t="shared" si="31"/>
        <v/>
      </c>
    </row>
    <row r="496" spans="1:5" ht="13.8" hidden="1" thickBot="1" x14ac:dyDescent="0.3">
      <c r="A496" s="890"/>
      <c r="B496" s="883">
        <f t="shared" si="30"/>
        <v>468</v>
      </c>
      <c r="C496" s="908" t="str">
        <f t="shared" si="31"/>
        <v/>
      </c>
      <c r="D496" s="908" t="str">
        <f t="shared" si="31"/>
        <v/>
      </c>
      <c r="E496" s="978" t="str">
        <f t="shared" si="31"/>
        <v/>
      </c>
    </row>
    <row r="497" spans="1:5" ht="13.8" hidden="1" thickBot="1" x14ac:dyDescent="0.3">
      <c r="A497" s="890"/>
      <c r="B497" s="883">
        <f t="shared" si="30"/>
        <v>469</v>
      </c>
      <c r="C497" s="908" t="str">
        <f t="shared" si="31"/>
        <v/>
      </c>
      <c r="D497" s="908" t="str">
        <f t="shared" si="31"/>
        <v/>
      </c>
      <c r="E497" s="978" t="str">
        <f t="shared" si="31"/>
        <v/>
      </c>
    </row>
    <row r="498" spans="1:5" ht="13.8" hidden="1" thickBot="1" x14ac:dyDescent="0.3">
      <c r="A498" s="890"/>
      <c r="B498" s="883">
        <f t="shared" si="30"/>
        <v>470</v>
      </c>
      <c r="C498" s="908" t="str">
        <f t="shared" si="31"/>
        <v/>
      </c>
      <c r="D498" s="908" t="str">
        <f t="shared" si="31"/>
        <v/>
      </c>
      <c r="E498" s="978" t="str">
        <f t="shared" si="31"/>
        <v/>
      </c>
    </row>
    <row r="499" spans="1:5" ht="13.8" hidden="1" thickBot="1" x14ac:dyDescent="0.3">
      <c r="A499" s="890"/>
      <c r="B499" s="883">
        <f t="shared" si="30"/>
        <v>471</v>
      </c>
      <c r="C499" s="908" t="str">
        <f t="shared" si="31"/>
        <v/>
      </c>
      <c r="D499" s="908" t="str">
        <f t="shared" si="31"/>
        <v/>
      </c>
      <c r="E499" s="978" t="str">
        <f t="shared" si="31"/>
        <v/>
      </c>
    </row>
    <row r="500" spans="1:5" ht="13.8" hidden="1" thickBot="1" x14ac:dyDescent="0.3">
      <c r="A500" s="890"/>
      <c r="B500" s="883">
        <f t="shared" si="30"/>
        <v>472</v>
      </c>
      <c r="C500" s="908" t="str">
        <f t="shared" si="31"/>
        <v/>
      </c>
      <c r="D500" s="908" t="str">
        <f t="shared" si="31"/>
        <v/>
      </c>
      <c r="E500" s="978" t="str">
        <f t="shared" si="31"/>
        <v/>
      </c>
    </row>
    <row r="501" spans="1:5" ht="13.8" hidden="1" thickBot="1" x14ac:dyDescent="0.3">
      <c r="A501" s="890"/>
      <c r="B501" s="883">
        <f t="shared" si="30"/>
        <v>473</v>
      </c>
      <c r="C501" s="908" t="str">
        <f t="shared" si="31"/>
        <v/>
      </c>
      <c r="D501" s="908" t="str">
        <f t="shared" si="31"/>
        <v/>
      </c>
      <c r="E501" s="978" t="str">
        <f t="shared" si="31"/>
        <v/>
      </c>
    </row>
    <row r="502" spans="1:5" ht="13.8" hidden="1" thickBot="1" x14ac:dyDescent="0.3">
      <c r="A502" s="890"/>
      <c r="B502" s="883">
        <f t="shared" si="30"/>
        <v>474</v>
      </c>
      <c r="C502" s="908" t="str">
        <f t="shared" si="31"/>
        <v/>
      </c>
      <c r="D502" s="908" t="str">
        <f t="shared" si="31"/>
        <v/>
      </c>
      <c r="E502" s="978" t="str">
        <f t="shared" si="31"/>
        <v/>
      </c>
    </row>
    <row r="503" spans="1:5" ht="13.8" hidden="1" thickBot="1" x14ac:dyDescent="0.3">
      <c r="A503" s="890"/>
      <c r="B503" s="883">
        <f t="shared" si="30"/>
        <v>475</v>
      </c>
      <c r="C503" s="908" t="str">
        <f t="shared" si="31"/>
        <v/>
      </c>
      <c r="D503" s="908" t="str">
        <f t="shared" si="31"/>
        <v/>
      </c>
      <c r="E503" s="978" t="str">
        <f t="shared" si="31"/>
        <v/>
      </c>
    </row>
    <row r="504" spans="1:5" ht="13.8" hidden="1" thickBot="1" x14ac:dyDescent="0.3">
      <c r="A504" s="890"/>
      <c r="B504" s="883">
        <f t="shared" si="30"/>
        <v>476</v>
      </c>
      <c r="C504" s="908" t="str">
        <f t="shared" si="31"/>
        <v/>
      </c>
      <c r="D504" s="908" t="str">
        <f t="shared" si="31"/>
        <v/>
      </c>
      <c r="E504" s="978" t="str">
        <f t="shared" si="31"/>
        <v/>
      </c>
    </row>
    <row r="505" spans="1:5" ht="13.8" hidden="1" thickBot="1" x14ac:dyDescent="0.3">
      <c r="A505" s="890"/>
      <c r="B505" s="883">
        <f t="shared" si="30"/>
        <v>477</v>
      </c>
      <c r="C505" s="908" t="str">
        <f t="shared" si="31"/>
        <v/>
      </c>
      <c r="D505" s="908" t="str">
        <f t="shared" si="31"/>
        <v/>
      </c>
      <c r="E505" s="978" t="str">
        <f t="shared" si="31"/>
        <v/>
      </c>
    </row>
    <row r="506" spans="1:5" ht="13.8" hidden="1" thickBot="1" x14ac:dyDescent="0.3">
      <c r="A506" s="890"/>
      <c r="B506" s="883">
        <f t="shared" si="30"/>
        <v>478</v>
      </c>
      <c r="C506" s="908" t="str">
        <f t="shared" si="31"/>
        <v/>
      </c>
      <c r="D506" s="908" t="str">
        <f t="shared" si="31"/>
        <v/>
      </c>
      <c r="E506" s="978" t="str">
        <f t="shared" si="31"/>
        <v/>
      </c>
    </row>
    <row r="507" spans="1:5" ht="13.8" hidden="1" thickBot="1" x14ac:dyDescent="0.3">
      <c r="A507" s="890"/>
      <c r="B507" s="883">
        <f t="shared" si="30"/>
        <v>479</v>
      </c>
      <c r="C507" s="908" t="str">
        <f t="shared" si="31"/>
        <v/>
      </c>
      <c r="D507" s="908" t="str">
        <f t="shared" si="31"/>
        <v/>
      </c>
      <c r="E507" s="978" t="str">
        <f t="shared" si="31"/>
        <v/>
      </c>
    </row>
    <row r="508" spans="1:5" ht="13.8" hidden="1" thickBot="1" x14ac:dyDescent="0.3">
      <c r="A508" s="890"/>
      <c r="B508" s="883">
        <f t="shared" si="30"/>
        <v>480</v>
      </c>
      <c r="C508" s="908" t="str">
        <f t="shared" si="31"/>
        <v/>
      </c>
      <c r="D508" s="908" t="str">
        <f t="shared" si="31"/>
        <v/>
      </c>
      <c r="E508" s="978" t="str">
        <f t="shared" si="31"/>
        <v/>
      </c>
    </row>
    <row r="509" spans="1:5" ht="13.8" hidden="1" thickBot="1" x14ac:dyDescent="0.3">
      <c r="A509" s="890"/>
      <c r="B509" s="883">
        <f t="shared" si="30"/>
        <v>481</v>
      </c>
      <c r="C509" s="908" t="str">
        <f t="shared" ref="C509:E528" si="32">IF($B509&gt;$C$11*12,"",C$19)</f>
        <v/>
      </c>
      <c r="D509" s="908" t="str">
        <f t="shared" si="32"/>
        <v/>
      </c>
      <c r="E509" s="978" t="str">
        <f t="shared" si="32"/>
        <v/>
      </c>
    </row>
    <row r="510" spans="1:5" ht="13.8" hidden="1" thickBot="1" x14ac:dyDescent="0.3">
      <c r="A510" s="890"/>
      <c r="B510" s="883">
        <f t="shared" si="30"/>
        <v>482</v>
      </c>
      <c r="C510" s="908" t="str">
        <f t="shared" si="32"/>
        <v/>
      </c>
      <c r="D510" s="908" t="str">
        <f t="shared" si="32"/>
        <v/>
      </c>
      <c r="E510" s="978" t="str">
        <f t="shared" si="32"/>
        <v/>
      </c>
    </row>
    <row r="511" spans="1:5" ht="13.8" hidden="1" thickBot="1" x14ac:dyDescent="0.3">
      <c r="A511" s="890"/>
      <c r="B511" s="883">
        <f t="shared" si="30"/>
        <v>483</v>
      </c>
      <c r="C511" s="908" t="str">
        <f t="shared" si="32"/>
        <v/>
      </c>
      <c r="D511" s="908" t="str">
        <f t="shared" si="32"/>
        <v/>
      </c>
      <c r="E511" s="978" t="str">
        <f t="shared" si="32"/>
        <v/>
      </c>
    </row>
    <row r="512" spans="1:5" ht="13.8" hidden="1" thickBot="1" x14ac:dyDescent="0.3">
      <c r="A512" s="890"/>
      <c r="B512" s="883">
        <f t="shared" si="30"/>
        <v>484</v>
      </c>
      <c r="C512" s="908" t="str">
        <f t="shared" si="32"/>
        <v/>
      </c>
      <c r="D512" s="908" t="str">
        <f t="shared" si="32"/>
        <v/>
      </c>
      <c r="E512" s="978" t="str">
        <f t="shared" si="32"/>
        <v/>
      </c>
    </row>
    <row r="513" spans="1:5" ht="13.8" hidden="1" thickBot="1" x14ac:dyDescent="0.3">
      <c r="A513" s="890"/>
      <c r="B513" s="883">
        <f t="shared" si="30"/>
        <v>485</v>
      </c>
      <c r="C513" s="908" t="str">
        <f t="shared" si="32"/>
        <v/>
      </c>
      <c r="D513" s="908" t="str">
        <f t="shared" si="32"/>
        <v/>
      </c>
      <c r="E513" s="978" t="str">
        <f t="shared" si="32"/>
        <v/>
      </c>
    </row>
    <row r="514" spans="1:5" ht="13.8" hidden="1" thickBot="1" x14ac:dyDescent="0.3">
      <c r="A514" s="890"/>
      <c r="B514" s="883">
        <f t="shared" si="30"/>
        <v>486</v>
      </c>
      <c r="C514" s="908" t="str">
        <f t="shared" si="32"/>
        <v/>
      </c>
      <c r="D514" s="908" t="str">
        <f t="shared" si="32"/>
        <v/>
      </c>
      <c r="E514" s="978" t="str">
        <f t="shared" si="32"/>
        <v/>
      </c>
    </row>
    <row r="515" spans="1:5" ht="13.8" hidden="1" thickBot="1" x14ac:dyDescent="0.3">
      <c r="A515" s="890"/>
      <c r="B515" s="883">
        <f t="shared" si="30"/>
        <v>487</v>
      </c>
      <c r="C515" s="908" t="str">
        <f t="shared" si="32"/>
        <v/>
      </c>
      <c r="D515" s="908" t="str">
        <f t="shared" si="32"/>
        <v/>
      </c>
      <c r="E515" s="978" t="str">
        <f t="shared" si="32"/>
        <v/>
      </c>
    </row>
    <row r="516" spans="1:5" ht="13.8" hidden="1" thickBot="1" x14ac:dyDescent="0.3">
      <c r="A516" s="890"/>
      <c r="B516" s="883">
        <f t="shared" si="30"/>
        <v>488</v>
      </c>
      <c r="C516" s="908" t="str">
        <f t="shared" si="32"/>
        <v/>
      </c>
      <c r="D516" s="908" t="str">
        <f t="shared" si="32"/>
        <v/>
      </c>
      <c r="E516" s="978" t="str">
        <f t="shared" si="32"/>
        <v/>
      </c>
    </row>
    <row r="517" spans="1:5" ht="13.8" hidden="1" thickBot="1" x14ac:dyDescent="0.3">
      <c r="A517" s="890"/>
      <c r="B517" s="883">
        <f t="shared" si="30"/>
        <v>489</v>
      </c>
      <c r="C517" s="908" t="str">
        <f t="shared" si="32"/>
        <v/>
      </c>
      <c r="D517" s="908" t="str">
        <f t="shared" si="32"/>
        <v/>
      </c>
      <c r="E517" s="978" t="str">
        <f t="shared" si="32"/>
        <v/>
      </c>
    </row>
    <row r="518" spans="1:5" ht="13.8" hidden="1" thickBot="1" x14ac:dyDescent="0.3">
      <c r="A518" s="890"/>
      <c r="B518" s="883">
        <f t="shared" si="30"/>
        <v>490</v>
      </c>
      <c r="C518" s="908" t="str">
        <f t="shared" si="32"/>
        <v/>
      </c>
      <c r="D518" s="908" t="str">
        <f t="shared" si="32"/>
        <v/>
      </c>
      <c r="E518" s="978" t="str">
        <f t="shared" si="32"/>
        <v/>
      </c>
    </row>
    <row r="519" spans="1:5" ht="13.8" hidden="1" thickBot="1" x14ac:dyDescent="0.3">
      <c r="A519" s="890"/>
      <c r="B519" s="883">
        <f t="shared" si="30"/>
        <v>491</v>
      </c>
      <c r="C519" s="908" t="str">
        <f t="shared" si="32"/>
        <v/>
      </c>
      <c r="D519" s="908" t="str">
        <f t="shared" si="32"/>
        <v/>
      </c>
      <c r="E519" s="978" t="str">
        <f t="shared" si="32"/>
        <v/>
      </c>
    </row>
    <row r="520" spans="1:5" ht="13.8" hidden="1" thickBot="1" x14ac:dyDescent="0.3">
      <c r="A520" s="890"/>
      <c r="B520" s="883">
        <f t="shared" si="30"/>
        <v>492</v>
      </c>
      <c r="C520" s="908" t="str">
        <f t="shared" si="32"/>
        <v/>
      </c>
      <c r="D520" s="908" t="str">
        <f t="shared" si="32"/>
        <v/>
      </c>
      <c r="E520" s="978" t="str">
        <f t="shared" si="32"/>
        <v/>
      </c>
    </row>
    <row r="521" spans="1:5" ht="13.8" hidden="1" thickBot="1" x14ac:dyDescent="0.3">
      <c r="A521" s="890"/>
      <c r="B521" s="883">
        <f t="shared" si="30"/>
        <v>493</v>
      </c>
      <c r="C521" s="908" t="str">
        <f t="shared" si="32"/>
        <v/>
      </c>
      <c r="D521" s="908" t="str">
        <f t="shared" si="32"/>
        <v/>
      </c>
      <c r="E521" s="978" t="str">
        <f t="shared" si="32"/>
        <v/>
      </c>
    </row>
    <row r="522" spans="1:5" ht="13.8" hidden="1" thickBot="1" x14ac:dyDescent="0.3">
      <c r="A522" s="890"/>
      <c r="B522" s="883">
        <f t="shared" si="30"/>
        <v>494</v>
      </c>
      <c r="C522" s="908" t="str">
        <f t="shared" si="32"/>
        <v/>
      </c>
      <c r="D522" s="908" t="str">
        <f t="shared" si="32"/>
        <v/>
      </c>
      <c r="E522" s="978" t="str">
        <f t="shared" si="32"/>
        <v/>
      </c>
    </row>
    <row r="523" spans="1:5" ht="13.8" hidden="1" thickBot="1" x14ac:dyDescent="0.3">
      <c r="A523" s="890"/>
      <c r="B523" s="883">
        <f t="shared" si="30"/>
        <v>495</v>
      </c>
      <c r="C523" s="908" t="str">
        <f t="shared" si="32"/>
        <v/>
      </c>
      <c r="D523" s="908" t="str">
        <f t="shared" si="32"/>
        <v/>
      </c>
      <c r="E523" s="978" t="str">
        <f t="shared" si="32"/>
        <v/>
      </c>
    </row>
    <row r="524" spans="1:5" ht="13.8" hidden="1" thickBot="1" x14ac:dyDescent="0.3">
      <c r="A524" s="890"/>
      <c r="B524" s="883">
        <f t="shared" si="30"/>
        <v>496</v>
      </c>
      <c r="C524" s="908" t="str">
        <f t="shared" si="32"/>
        <v/>
      </c>
      <c r="D524" s="908" t="str">
        <f t="shared" si="32"/>
        <v/>
      </c>
      <c r="E524" s="978" t="str">
        <f t="shared" si="32"/>
        <v/>
      </c>
    </row>
    <row r="525" spans="1:5" ht="13.8" hidden="1" thickBot="1" x14ac:dyDescent="0.3">
      <c r="A525" s="890"/>
      <c r="B525" s="883">
        <f t="shared" si="30"/>
        <v>497</v>
      </c>
      <c r="C525" s="908" t="str">
        <f t="shared" si="32"/>
        <v/>
      </c>
      <c r="D525" s="908" t="str">
        <f t="shared" si="32"/>
        <v/>
      </c>
      <c r="E525" s="978" t="str">
        <f t="shared" si="32"/>
        <v/>
      </c>
    </row>
    <row r="526" spans="1:5" ht="13.8" hidden="1" thickBot="1" x14ac:dyDescent="0.3">
      <c r="A526" s="890"/>
      <c r="B526" s="883">
        <f t="shared" si="30"/>
        <v>498</v>
      </c>
      <c r="C526" s="908" t="str">
        <f t="shared" si="32"/>
        <v/>
      </c>
      <c r="D526" s="908" t="str">
        <f t="shared" si="32"/>
        <v/>
      </c>
      <c r="E526" s="978" t="str">
        <f t="shared" si="32"/>
        <v/>
      </c>
    </row>
    <row r="527" spans="1:5" ht="13.8" hidden="1" thickBot="1" x14ac:dyDescent="0.3">
      <c r="A527" s="890"/>
      <c r="B527" s="883">
        <f t="shared" si="30"/>
        <v>499</v>
      </c>
      <c r="C527" s="908" t="str">
        <f t="shared" si="32"/>
        <v/>
      </c>
      <c r="D527" s="908" t="str">
        <f t="shared" si="32"/>
        <v/>
      </c>
      <c r="E527" s="978" t="str">
        <f t="shared" si="32"/>
        <v/>
      </c>
    </row>
    <row r="528" spans="1:5" ht="13.8" hidden="1" thickBot="1" x14ac:dyDescent="0.3">
      <c r="A528" s="890"/>
      <c r="B528" s="883">
        <f t="shared" si="30"/>
        <v>500</v>
      </c>
      <c r="C528" s="908" t="str">
        <f t="shared" si="32"/>
        <v/>
      </c>
      <c r="D528" s="908" t="str">
        <f t="shared" si="32"/>
        <v/>
      </c>
      <c r="E528" s="978" t="str">
        <f t="shared" si="32"/>
        <v/>
      </c>
    </row>
    <row r="529" spans="1:5" ht="13.8" hidden="1" thickBot="1" x14ac:dyDescent="0.3">
      <c r="A529" s="890"/>
      <c r="B529" s="883">
        <f t="shared" si="30"/>
        <v>501</v>
      </c>
      <c r="C529" s="908" t="str">
        <f t="shared" ref="C529:E548" si="33">IF($B529&gt;$C$11*12,"",C$19)</f>
        <v/>
      </c>
      <c r="D529" s="908" t="str">
        <f t="shared" si="33"/>
        <v/>
      </c>
      <c r="E529" s="978" t="str">
        <f t="shared" si="33"/>
        <v/>
      </c>
    </row>
    <row r="530" spans="1:5" ht="13.8" hidden="1" thickBot="1" x14ac:dyDescent="0.3">
      <c r="A530" s="890"/>
      <c r="B530" s="883">
        <f t="shared" si="30"/>
        <v>502</v>
      </c>
      <c r="C530" s="908" t="str">
        <f t="shared" si="33"/>
        <v/>
      </c>
      <c r="D530" s="908" t="str">
        <f t="shared" si="33"/>
        <v/>
      </c>
      <c r="E530" s="978" t="str">
        <f t="shared" si="33"/>
        <v/>
      </c>
    </row>
    <row r="531" spans="1:5" ht="13.8" hidden="1" thickBot="1" x14ac:dyDescent="0.3">
      <c r="A531" s="890"/>
      <c r="B531" s="883">
        <f t="shared" si="30"/>
        <v>503</v>
      </c>
      <c r="C531" s="908" t="str">
        <f t="shared" si="33"/>
        <v/>
      </c>
      <c r="D531" s="908" t="str">
        <f t="shared" si="33"/>
        <v/>
      </c>
      <c r="E531" s="978" t="str">
        <f t="shared" si="33"/>
        <v/>
      </c>
    </row>
    <row r="532" spans="1:5" ht="13.8" hidden="1" thickBot="1" x14ac:dyDescent="0.3">
      <c r="A532" s="890"/>
      <c r="B532" s="883">
        <f t="shared" si="30"/>
        <v>504</v>
      </c>
      <c r="C532" s="908" t="str">
        <f t="shared" si="33"/>
        <v/>
      </c>
      <c r="D532" s="908" t="str">
        <f t="shared" si="33"/>
        <v/>
      </c>
      <c r="E532" s="978" t="str">
        <f t="shared" si="33"/>
        <v/>
      </c>
    </row>
    <row r="533" spans="1:5" ht="13.8" hidden="1" thickBot="1" x14ac:dyDescent="0.3">
      <c r="A533" s="890"/>
      <c r="B533" s="883">
        <f t="shared" si="30"/>
        <v>505</v>
      </c>
      <c r="C533" s="908" t="str">
        <f t="shared" si="33"/>
        <v/>
      </c>
      <c r="D533" s="908" t="str">
        <f t="shared" si="33"/>
        <v/>
      </c>
      <c r="E533" s="978" t="str">
        <f t="shared" si="33"/>
        <v/>
      </c>
    </row>
    <row r="534" spans="1:5" ht="13.8" hidden="1" thickBot="1" x14ac:dyDescent="0.3">
      <c r="A534" s="890"/>
      <c r="B534" s="883">
        <f t="shared" si="30"/>
        <v>506</v>
      </c>
      <c r="C534" s="908" t="str">
        <f t="shared" si="33"/>
        <v/>
      </c>
      <c r="D534" s="908" t="str">
        <f t="shared" si="33"/>
        <v/>
      </c>
      <c r="E534" s="978" t="str">
        <f t="shared" si="33"/>
        <v/>
      </c>
    </row>
    <row r="535" spans="1:5" ht="13.8" hidden="1" thickBot="1" x14ac:dyDescent="0.3">
      <c r="A535" s="890"/>
      <c r="B535" s="883">
        <f t="shared" si="30"/>
        <v>507</v>
      </c>
      <c r="C535" s="908" t="str">
        <f t="shared" si="33"/>
        <v/>
      </c>
      <c r="D535" s="908" t="str">
        <f t="shared" si="33"/>
        <v/>
      </c>
      <c r="E535" s="978" t="str">
        <f t="shared" si="33"/>
        <v/>
      </c>
    </row>
    <row r="536" spans="1:5" ht="13.8" hidden="1" thickBot="1" x14ac:dyDescent="0.3">
      <c r="A536" s="890"/>
      <c r="B536" s="883">
        <f t="shared" si="30"/>
        <v>508</v>
      </c>
      <c r="C536" s="908" t="str">
        <f t="shared" si="33"/>
        <v/>
      </c>
      <c r="D536" s="908" t="str">
        <f t="shared" si="33"/>
        <v/>
      </c>
      <c r="E536" s="978" t="str">
        <f t="shared" si="33"/>
        <v/>
      </c>
    </row>
    <row r="537" spans="1:5" ht="13.8" hidden="1" thickBot="1" x14ac:dyDescent="0.3">
      <c r="A537" s="890"/>
      <c r="B537" s="883">
        <f t="shared" si="30"/>
        <v>509</v>
      </c>
      <c r="C537" s="908" t="str">
        <f t="shared" si="33"/>
        <v/>
      </c>
      <c r="D537" s="908" t="str">
        <f t="shared" si="33"/>
        <v/>
      </c>
      <c r="E537" s="978" t="str">
        <f t="shared" si="33"/>
        <v/>
      </c>
    </row>
    <row r="538" spans="1:5" ht="13.8" hidden="1" thickBot="1" x14ac:dyDescent="0.3">
      <c r="A538" s="890"/>
      <c r="B538" s="883">
        <f t="shared" ref="B538:B601" si="34">B537+1</f>
        <v>510</v>
      </c>
      <c r="C538" s="908" t="str">
        <f t="shared" si="33"/>
        <v/>
      </c>
      <c r="D538" s="908" t="str">
        <f t="shared" si="33"/>
        <v/>
      </c>
      <c r="E538" s="978" t="str">
        <f t="shared" si="33"/>
        <v/>
      </c>
    </row>
    <row r="539" spans="1:5" ht="13.8" hidden="1" thickBot="1" x14ac:dyDescent="0.3">
      <c r="A539" s="890"/>
      <c r="B539" s="883">
        <f t="shared" si="34"/>
        <v>511</v>
      </c>
      <c r="C539" s="908" t="str">
        <f t="shared" si="33"/>
        <v/>
      </c>
      <c r="D539" s="908" t="str">
        <f t="shared" si="33"/>
        <v/>
      </c>
      <c r="E539" s="978" t="str">
        <f t="shared" si="33"/>
        <v/>
      </c>
    </row>
    <row r="540" spans="1:5" ht="13.8" hidden="1" thickBot="1" x14ac:dyDescent="0.3">
      <c r="A540" s="890"/>
      <c r="B540" s="883">
        <f t="shared" si="34"/>
        <v>512</v>
      </c>
      <c r="C540" s="908" t="str">
        <f t="shared" si="33"/>
        <v/>
      </c>
      <c r="D540" s="908" t="str">
        <f t="shared" si="33"/>
        <v/>
      </c>
      <c r="E540" s="978" t="str">
        <f t="shared" si="33"/>
        <v/>
      </c>
    </row>
    <row r="541" spans="1:5" ht="13.8" hidden="1" thickBot="1" x14ac:dyDescent="0.3">
      <c r="A541" s="890"/>
      <c r="B541" s="883">
        <f t="shared" si="34"/>
        <v>513</v>
      </c>
      <c r="C541" s="908" t="str">
        <f t="shared" si="33"/>
        <v/>
      </c>
      <c r="D541" s="908" t="str">
        <f t="shared" si="33"/>
        <v/>
      </c>
      <c r="E541" s="978" t="str">
        <f t="shared" si="33"/>
        <v/>
      </c>
    </row>
    <row r="542" spans="1:5" ht="13.8" hidden="1" thickBot="1" x14ac:dyDescent="0.3">
      <c r="A542" s="890"/>
      <c r="B542" s="883">
        <f t="shared" si="34"/>
        <v>514</v>
      </c>
      <c r="C542" s="908" t="str">
        <f t="shared" si="33"/>
        <v/>
      </c>
      <c r="D542" s="908" t="str">
        <f t="shared" si="33"/>
        <v/>
      </c>
      <c r="E542" s="978" t="str">
        <f t="shared" si="33"/>
        <v/>
      </c>
    </row>
    <row r="543" spans="1:5" ht="13.8" hidden="1" thickBot="1" x14ac:dyDescent="0.3">
      <c r="A543" s="890"/>
      <c r="B543" s="883">
        <f t="shared" si="34"/>
        <v>515</v>
      </c>
      <c r="C543" s="908" t="str">
        <f t="shared" si="33"/>
        <v/>
      </c>
      <c r="D543" s="908" t="str">
        <f t="shared" si="33"/>
        <v/>
      </c>
      <c r="E543" s="978" t="str">
        <f t="shared" si="33"/>
        <v/>
      </c>
    </row>
    <row r="544" spans="1:5" ht="13.8" hidden="1" thickBot="1" x14ac:dyDescent="0.3">
      <c r="A544" s="890"/>
      <c r="B544" s="883">
        <f t="shared" si="34"/>
        <v>516</v>
      </c>
      <c r="C544" s="908" t="str">
        <f t="shared" si="33"/>
        <v/>
      </c>
      <c r="D544" s="908" t="str">
        <f t="shared" si="33"/>
        <v/>
      </c>
      <c r="E544" s="978" t="str">
        <f t="shared" si="33"/>
        <v/>
      </c>
    </row>
    <row r="545" spans="1:5" ht="13.8" hidden="1" thickBot="1" x14ac:dyDescent="0.3">
      <c r="A545" s="890"/>
      <c r="B545" s="883">
        <f t="shared" si="34"/>
        <v>517</v>
      </c>
      <c r="C545" s="908" t="str">
        <f t="shared" si="33"/>
        <v/>
      </c>
      <c r="D545" s="908" t="str">
        <f t="shared" si="33"/>
        <v/>
      </c>
      <c r="E545" s="978" t="str">
        <f t="shared" si="33"/>
        <v/>
      </c>
    </row>
    <row r="546" spans="1:5" ht="13.8" hidden="1" thickBot="1" x14ac:dyDescent="0.3">
      <c r="A546" s="890"/>
      <c r="B546" s="883">
        <f t="shared" si="34"/>
        <v>518</v>
      </c>
      <c r="C546" s="908" t="str">
        <f t="shared" si="33"/>
        <v/>
      </c>
      <c r="D546" s="908" t="str">
        <f t="shared" si="33"/>
        <v/>
      </c>
      <c r="E546" s="978" t="str">
        <f t="shared" si="33"/>
        <v/>
      </c>
    </row>
    <row r="547" spans="1:5" ht="13.8" hidden="1" thickBot="1" x14ac:dyDescent="0.3">
      <c r="A547" s="890"/>
      <c r="B547" s="883">
        <f t="shared" si="34"/>
        <v>519</v>
      </c>
      <c r="C547" s="908" t="str">
        <f t="shared" si="33"/>
        <v/>
      </c>
      <c r="D547" s="908" t="str">
        <f t="shared" si="33"/>
        <v/>
      </c>
      <c r="E547" s="978" t="str">
        <f t="shared" si="33"/>
        <v/>
      </c>
    </row>
    <row r="548" spans="1:5" ht="13.8" hidden="1" thickBot="1" x14ac:dyDescent="0.3">
      <c r="A548" s="890"/>
      <c r="B548" s="883">
        <f t="shared" si="34"/>
        <v>520</v>
      </c>
      <c r="C548" s="908" t="str">
        <f t="shared" si="33"/>
        <v/>
      </c>
      <c r="D548" s="908" t="str">
        <f t="shared" si="33"/>
        <v/>
      </c>
      <c r="E548" s="978" t="str">
        <f t="shared" si="33"/>
        <v/>
      </c>
    </row>
    <row r="549" spans="1:5" ht="13.8" hidden="1" thickBot="1" x14ac:dyDescent="0.3">
      <c r="A549" s="890"/>
      <c r="B549" s="883">
        <f t="shared" si="34"/>
        <v>521</v>
      </c>
      <c r="C549" s="908" t="str">
        <f t="shared" ref="C549:E568" si="35">IF($B549&gt;$C$11*12,"",C$19)</f>
        <v/>
      </c>
      <c r="D549" s="908" t="str">
        <f t="shared" si="35"/>
        <v/>
      </c>
      <c r="E549" s="978" t="str">
        <f t="shared" si="35"/>
        <v/>
      </c>
    </row>
    <row r="550" spans="1:5" ht="13.8" hidden="1" thickBot="1" x14ac:dyDescent="0.3">
      <c r="A550" s="890"/>
      <c r="B550" s="883">
        <f t="shared" si="34"/>
        <v>522</v>
      </c>
      <c r="C550" s="908" t="str">
        <f t="shared" si="35"/>
        <v/>
      </c>
      <c r="D550" s="908" t="str">
        <f t="shared" si="35"/>
        <v/>
      </c>
      <c r="E550" s="978" t="str">
        <f t="shared" si="35"/>
        <v/>
      </c>
    </row>
    <row r="551" spans="1:5" ht="13.8" hidden="1" thickBot="1" x14ac:dyDescent="0.3">
      <c r="A551" s="890"/>
      <c r="B551" s="883">
        <f t="shared" si="34"/>
        <v>523</v>
      </c>
      <c r="C551" s="908" t="str">
        <f t="shared" si="35"/>
        <v/>
      </c>
      <c r="D551" s="908" t="str">
        <f t="shared" si="35"/>
        <v/>
      </c>
      <c r="E551" s="978" t="str">
        <f t="shared" si="35"/>
        <v/>
      </c>
    </row>
    <row r="552" spans="1:5" ht="13.8" hidden="1" thickBot="1" x14ac:dyDescent="0.3">
      <c r="A552" s="890"/>
      <c r="B552" s="883">
        <f t="shared" si="34"/>
        <v>524</v>
      </c>
      <c r="C552" s="908" t="str">
        <f t="shared" si="35"/>
        <v/>
      </c>
      <c r="D552" s="908" t="str">
        <f t="shared" si="35"/>
        <v/>
      </c>
      <c r="E552" s="978" t="str">
        <f t="shared" si="35"/>
        <v/>
      </c>
    </row>
    <row r="553" spans="1:5" ht="13.8" hidden="1" thickBot="1" x14ac:dyDescent="0.3">
      <c r="A553" s="890"/>
      <c r="B553" s="883">
        <f t="shared" si="34"/>
        <v>525</v>
      </c>
      <c r="C553" s="908" t="str">
        <f t="shared" si="35"/>
        <v/>
      </c>
      <c r="D553" s="908" t="str">
        <f t="shared" si="35"/>
        <v/>
      </c>
      <c r="E553" s="978" t="str">
        <f t="shared" si="35"/>
        <v/>
      </c>
    </row>
    <row r="554" spans="1:5" ht="13.8" hidden="1" thickBot="1" x14ac:dyDescent="0.3">
      <c r="A554" s="890"/>
      <c r="B554" s="883">
        <f t="shared" si="34"/>
        <v>526</v>
      </c>
      <c r="C554" s="908" t="str">
        <f t="shared" si="35"/>
        <v/>
      </c>
      <c r="D554" s="908" t="str">
        <f t="shared" si="35"/>
        <v/>
      </c>
      <c r="E554" s="978" t="str">
        <f t="shared" si="35"/>
        <v/>
      </c>
    </row>
    <row r="555" spans="1:5" ht="13.8" hidden="1" thickBot="1" x14ac:dyDescent="0.3">
      <c r="A555" s="890"/>
      <c r="B555" s="883">
        <f t="shared" si="34"/>
        <v>527</v>
      </c>
      <c r="C555" s="908" t="str">
        <f t="shared" si="35"/>
        <v/>
      </c>
      <c r="D555" s="908" t="str">
        <f t="shared" si="35"/>
        <v/>
      </c>
      <c r="E555" s="978" t="str">
        <f t="shared" si="35"/>
        <v/>
      </c>
    </row>
    <row r="556" spans="1:5" ht="13.8" hidden="1" thickBot="1" x14ac:dyDescent="0.3">
      <c r="A556" s="890"/>
      <c r="B556" s="883">
        <f t="shared" si="34"/>
        <v>528</v>
      </c>
      <c r="C556" s="908" t="str">
        <f t="shared" si="35"/>
        <v/>
      </c>
      <c r="D556" s="908" t="str">
        <f t="shared" si="35"/>
        <v/>
      </c>
      <c r="E556" s="978" t="str">
        <f t="shared" si="35"/>
        <v/>
      </c>
    </row>
    <row r="557" spans="1:5" ht="13.8" hidden="1" thickBot="1" x14ac:dyDescent="0.3">
      <c r="A557" s="890"/>
      <c r="B557" s="883">
        <f t="shared" si="34"/>
        <v>529</v>
      </c>
      <c r="C557" s="908" t="str">
        <f t="shared" si="35"/>
        <v/>
      </c>
      <c r="D557" s="908" t="str">
        <f t="shared" si="35"/>
        <v/>
      </c>
      <c r="E557" s="978" t="str">
        <f t="shared" si="35"/>
        <v/>
      </c>
    </row>
    <row r="558" spans="1:5" ht="13.8" hidden="1" thickBot="1" x14ac:dyDescent="0.3">
      <c r="A558" s="890"/>
      <c r="B558" s="883">
        <f t="shared" si="34"/>
        <v>530</v>
      </c>
      <c r="C558" s="908" t="str">
        <f t="shared" si="35"/>
        <v/>
      </c>
      <c r="D558" s="908" t="str">
        <f t="shared" si="35"/>
        <v/>
      </c>
      <c r="E558" s="978" t="str">
        <f t="shared" si="35"/>
        <v/>
      </c>
    </row>
    <row r="559" spans="1:5" ht="13.8" hidden="1" thickBot="1" x14ac:dyDescent="0.3">
      <c r="A559" s="890"/>
      <c r="B559" s="883">
        <f t="shared" si="34"/>
        <v>531</v>
      </c>
      <c r="C559" s="908" t="str">
        <f t="shared" si="35"/>
        <v/>
      </c>
      <c r="D559" s="908" t="str">
        <f t="shared" si="35"/>
        <v/>
      </c>
      <c r="E559" s="978" t="str">
        <f t="shared" si="35"/>
        <v/>
      </c>
    </row>
    <row r="560" spans="1:5" ht="13.8" hidden="1" thickBot="1" x14ac:dyDescent="0.3">
      <c r="A560" s="890"/>
      <c r="B560" s="883">
        <f t="shared" si="34"/>
        <v>532</v>
      </c>
      <c r="C560" s="908" t="str">
        <f t="shared" si="35"/>
        <v/>
      </c>
      <c r="D560" s="908" t="str">
        <f t="shared" si="35"/>
        <v/>
      </c>
      <c r="E560" s="978" t="str">
        <f t="shared" si="35"/>
        <v/>
      </c>
    </row>
    <row r="561" spans="1:5" ht="13.8" hidden="1" thickBot="1" x14ac:dyDescent="0.3">
      <c r="A561" s="890"/>
      <c r="B561" s="883">
        <f t="shared" si="34"/>
        <v>533</v>
      </c>
      <c r="C561" s="908" t="str">
        <f t="shared" si="35"/>
        <v/>
      </c>
      <c r="D561" s="908" t="str">
        <f t="shared" si="35"/>
        <v/>
      </c>
      <c r="E561" s="978" t="str">
        <f t="shared" si="35"/>
        <v/>
      </c>
    </row>
    <row r="562" spans="1:5" ht="13.8" hidden="1" thickBot="1" x14ac:dyDescent="0.3">
      <c r="A562" s="890"/>
      <c r="B562" s="883">
        <f t="shared" si="34"/>
        <v>534</v>
      </c>
      <c r="C562" s="908" t="str">
        <f t="shared" si="35"/>
        <v/>
      </c>
      <c r="D562" s="908" t="str">
        <f t="shared" si="35"/>
        <v/>
      </c>
      <c r="E562" s="978" t="str">
        <f t="shared" si="35"/>
        <v/>
      </c>
    </row>
    <row r="563" spans="1:5" ht="13.8" hidden="1" thickBot="1" x14ac:dyDescent="0.3">
      <c r="A563" s="890"/>
      <c r="B563" s="883">
        <f t="shared" si="34"/>
        <v>535</v>
      </c>
      <c r="C563" s="908" t="str">
        <f t="shared" si="35"/>
        <v/>
      </c>
      <c r="D563" s="908" t="str">
        <f t="shared" si="35"/>
        <v/>
      </c>
      <c r="E563" s="978" t="str">
        <f t="shared" si="35"/>
        <v/>
      </c>
    </row>
    <row r="564" spans="1:5" ht="13.8" hidden="1" thickBot="1" x14ac:dyDescent="0.3">
      <c r="A564" s="890"/>
      <c r="B564" s="883">
        <f t="shared" si="34"/>
        <v>536</v>
      </c>
      <c r="C564" s="908" t="str">
        <f t="shared" si="35"/>
        <v/>
      </c>
      <c r="D564" s="908" t="str">
        <f t="shared" si="35"/>
        <v/>
      </c>
      <c r="E564" s="978" t="str">
        <f t="shared" si="35"/>
        <v/>
      </c>
    </row>
    <row r="565" spans="1:5" ht="13.8" hidden="1" thickBot="1" x14ac:dyDescent="0.3">
      <c r="A565" s="890"/>
      <c r="B565" s="883">
        <f t="shared" si="34"/>
        <v>537</v>
      </c>
      <c r="C565" s="908" t="str">
        <f t="shared" si="35"/>
        <v/>
      </c>
      <c r="D565" s="908" t="str">
        <f t="shared" si="35"/>
        <v/>
      </c>
      <c r="E565" s="978" t="str">
        <f t="shared" si="35"/>
        <v/>
      </c>
    </row>
    <row r="566" spans="1:5" ht="13.8" hidden="1" thickBot="1" x14ac:dyDescent="0.3">
      <c r="A566" s="890"/>
      <c r="B566" s="883">
        <f t="shared" si="34"/>
        <v>538</v>
      </c>
      <c r="C566" s="908" t="str">
        <f t="shared" si="35"/>
        <v/>
      </c>
      <c r="D566" s="908" t="str">
        <f t="shared" si="35"/>
        <v/>
      </c>
      <c r="E566" s="978" t="str">
        <f t="shared" si="35"/>
        <v/>
      </c>
    </row>
    <row r="567" spans="1:5" ht="13.8" hidden="1" thickBot="1" x14ac:dyDescent="0.3">
      <c r="A567" s="890"/>
      <c r="B567" s="883">
        <f t="shared" si="34"/>
        <v>539</v>
      </c>
      <c r="C567" s="908" t="str">
        <f t="shared" si="35"/>
        <v/>
      </c>
      <c r="D567" s="908" t="str">
        <f t="shared" si="35"/>
        <v/>
      </c>
      <c r="E567" s="978" t="str">
        <f t="shared" si="35"/>
        <v/>
      </c>
    </row>
    <row r="568" spans="1:5" ht="13.8" hidden="1" thickBot="1" x14ac:dyDescent="0.3">
      <c r="A568" s="890"/>
      <c r="B568" s="883">
        <f t="shared" si="34"/>
        <v>540</v>
      </c>
      <c r="C568" s="908" t="str">
        <f t="shared" si="35"/>
        <v/>
      </c>
      <c r="D568" s="908" t="str">
        <f t="shared" si="35"/>
        <v/>
      </c>
      <c r="E568" s="978" t="str">
        <f t="shared" si="35"/>
        <v/>
      </c>
    </row>
    <row r="569" spans="1:5" ht="13.8" hidden="1" thickBot="1" x14ac:dyDescent="0.3">
      <c r="A569" s="890"/>
      <c r="B569" s="883">
        <f t="shared" si="34"/>
        <v>541</v>
      </c>
      <c r="C569" s="908" t="str">
        <f t="shared" ref="C569:E588" si="36">IF($B569&gt;$C$11*12,"",C$19)</f>
        <v/>
      </c>
      <c r="D569" s="908" t="str">
        <f t="shared" si="36"/>
        <v/>
      </c>
      <c r="E569" s="978" t="str">
        <f t="shared" si="36"/>
        <v/>
      </c>
    </row>
    <row r="570" spans="1:5" ht="13.8" hidden="1" thickBot="1" x14ac:dyDescent="0.3">
      <c r="A570" s="890"/>
      <c r="B570" s="883">
        <f t="shared" si="34"/>
        <v>542</v>
      </c>
      <c r="C570" s="908" t="str">
        <f t="shared" si="36"/>
        <v/>
      </c>
      <c r="D570" s="908" t="str">
        <f t="shared" si="36"/>
        <v/>
      </c>
      <c r="E570" s="978" t="str">
        <f t="shared" si="36"/>
        <v/>
      </c>
    </row>
    <row r="571" spans="1:5" ht="13.8" hidden="1" thickBot="1" x14ac:dyDescent="0.3">
      <c r="A571" s="890"/>
      <c r="B571" s="883">
        <f t="shared" si="34"/>
        <v>543</v>
      </c>
      <c r="C571" s="908" t="str">
        <f t="shared" si="36"/>
        <v/>
      </c>
      <c r="D571" s="908" t="str">
        <f t="shared" si="36"/>
        <v/>
      </c>
      <c r="E571" s="978" t="str">
        <f t="shared" si="36"/>
        <v/>
      </c>
    </row>
    <row r="572" spans="1:5" ht="13.8" hidden="1" thickBot="1" x14ac:dyDescent="0.3">
      <c r="A572" s="890"/>
      <c r="B572" s="883">
        <f t="shared" si="34"/>
        <v>544</v>
      </c>
      <c r="C572" s="908" t="str">
        <f t="shared" si="36"/>
        <v/>
      </c>
      <c r="D572" s="908" t="str">
        <f t="shared" si="36"/>
        <v/>
      </c>
      <c r="E572" s="978" t="str">
        <f t="shared" si="36"/>
        <v/>
      </c>
    </row>
    <row r="573" spans="1:5" ht="13.8" hidden="1" thickBot="1" x14ac:dyDescent="0.3">
      <c r="A573" s="890"/>
      <c r="B573" s="883">
        <f t="shared" si="34"/>
        <v>545</v>
      </c>
      <c r="C573" s="908" t="str">
        <f t="shared" si="36"/>
        <v/>
      </c>
      <c r="D573" s="908" t="str">
        <f t="shared" si="36"/>
        <v/>
      </c>
      <c r="E573" s="978" t="str">
        <f t="shared" si="36"/>
        <v/>
      </c>
    </row>
    <row r="574" spans="1:5" ht="13.8" hidden="1" thickBot="1" x14ac:dyDescent="0.3">
      <c r="A574" s="890"/>
      <c r="B574" s="883">
        <f t="shared" si="34"/>
        <v>546</v>
      </c>
      <c r="C574" s="908" t="str">
        <f t="shared" si="36"/>
        <v/>
      </c>
      <c r="D574" s="908" t="str">
        <f t="shared" si="36"/>
        <v/>
      </c>
      <c r="E574" s="978" t="str">
        <f t="shared" si="36"/>
        <v/>
      </c>
    </row>
    <row r="575" spans="1:5" ht="13.8" hidden="1" thickBot="1" x14ac:dyDescent="0.3">
      <c r="A575" s="890"/>
      <c r="B575" s="883">
        <f t="shared" si="34"/>
        <v>547</v>
      </c>
      <c r="C575" s="908" t="str">
        <f t="shared" si="36"/>
        <v/>
      </c>
      <c r="D575" s="908" t="str">
        <f t="shared" si="36"/>
        <v/>
      </c>
      <c r="E575" s="978" t="str">
        <f t="shared" si="36"/>
        <v/>
      </c>
    </row>
    <row r="576" spans="1:5" ht="13.8" hidden="1" thickBot="1" x14ac:dyDescent="0.3">
      <c r="A576" s="890"/>
      <c r="B576" s="883">
        <f t="shared" si="34"/>
        <v>548</v>
      </c>
      <c r="C576" s="908" t="str">
        <f t="shared" si="36"/>
        <v/>
      </c>
      <c r="D576" s="908" t="str">
        <f t="shared" si="36"/>
        <v/>
      </c>
      <c r="E576" s="978" t="str">
        <f t="shared" si="36"/>
        <v/>
      </c>
    </row>
    <row r="577" spans="1:5" ht="13.8" hidden="1" thickBot="1" x14ac:dyDescent="0.3">
      <c r="A577" s="890"/>
      <c r="B577" s="883">
        <f t="shared" si="34"/>
        <v>549</v>
      </c>
      <c r="C577" s="908" t="str">
        <f t="shared" si="36"/>
        <v/>
      </c>
      <c r="D577" s="908" t="str">
        <f t="shared" si="36"/>
        <v/>
      </c>
      <c r="E577" s="978" t="str">
        <f t="shared" si="36"/>
        <v/>
      </c>
    </row>
    <row r="578" spans="1:5" ht="13.8" hidden="1" thickBot="1" x14ac:dyDescent="0.3">
      <c r="A578" s="890"/>
      <c r="B578" s="883">
        <f t="shared" si="34"/>
        <v>550</v>
      </c>
      <c r="C578" s="908" t="str">
        <f t="shared" si="36"/>
        <v/>
      </c>
      <c r="D578" s="908" t="str">
        <f t="shared" si="36"/>
        <v/>
      </c>
      <c r="E578" s="978" t="str">
        <f t="shared" si="36"/>
        <v/>
      </c>
    </row>
    <row r="579" spans="1:5" ht="13.8" hidden="1" thickBot="1" x14ac:dyDescent="0.3">
      <c r="A579" s="890"/>
      <c r="B579" s="883">
        <f t="shared" si="34"/>
        <v>551</v>
      </c>
      <c r="C579" s="908" t="str">
        <f t="shared" si="36"/>
        <v/>
      </c>
      <c r="D579" s="908" t="str">
        <f t="shared" si="36"/>
        <v/>
      </c>
      <c r="E579" s="978" t="str">
        <f t="shared" si="36"/>
        <v/>
      </c>
    </row>
    <row r="580" spans="1:5" ht="13.8" hidden="1" thickBot="1" x14ac:dyDescent="0.3">
      <c r="A580" s="890"/>
      <c r="B580" s="883">
        <f t="shared" si="34"/>
        <v>552</v>
      </c>
      <c r="C580" s="908" t="str">
        <f t="shared" si="36"/>
        <v/>
      </c>
      <c r="D580" s="908" t="str">
        <f t="shared" si="36"/>
        <v/>
      </c>
      <c r="E580" s="978" t="str">
        <f t="shared" si="36"/>
        <v/>
      </c>
    </row>
    <row r="581" spans="1:5" ht="13.8" hidden="1" thickBot="1" x14ac:dyDescent="0.3">
      <c r="A581" s="890"/>
      <c r="B581" s="883">
        <f t="shared" si="34"/>
        <v>553</v>
      </c>
      <c r="C581" s="908" t="str">
        <f t="shared" si="36"/>
        <v/>
      </c>
      <c r="D581" s="908" t="str">
        <f t="shared" si="36"/>
        <v/>
      </c>
      <c r="E581" s="978" t="str">
        <f t="shared" si="36"/>
        <v/>
      </c>
    </row>
    <row r="582" spans="1:5" ht="13.8" hidden="1" thickBot="1" x14ac:dyDescent="0.3">
      <c r="A582" s="890"/>
      <c r="B582" s="883">
        <f t="shared" si="34"/>
        <v>554</v>
      </c>
      <c r="C582" s="908" t="str">
        <f t="shared" si="36"/>
        <v/>
      </c>
      <c r="D582" s="908" t="str">
        <f t="shared" si="36"/>
        <v/>
      </c>
      <c r="E582" s="978" t="str">
        <f t="shared" si="36"/>
        <v/>
      </c>
    </row>
    <row r="583" spans="1:5" ht="13.8" hidden="1" thickBot="1" x14ac:dyDescent="0.3">
      <c r="A583" s="890"/>
      <c r="B583" s="883">
        <f t="shared" si="34"/>
        <v>555</v>
      </c>
      <c r="C583" s="908" t="str">
        <f t="shared" si="36"/>
        <v/>
      </c>
      <c r="D583" s="908" t="str">
        <f t="shared" si="36"/>
        <v/>
      </c>
      <c r="E583" s="978" t="str">
        <f t="shared" si="36"/>
        <v/>
      </c>
    </row>
    <row r="584" spans="1:5" ht="13.8" hidden="1" thickBot="1" x14ac:dyDescent="0.3">
      <c r="A584" s="890"/>
      <c r="B584" s="883">
        <f t="shared" si="34"/>
        <v>556</v>
      </c>
      <c r="C584" s="908" t="str">
        <f t="shared" si="36"/>
        <v/>
      </c>
      <c r="D584" s="908" t="str">
        <f t="shared" si="36"/>
        <v/>
      </c>
      <c r="E584" s="978" t="str">
        <f t="shared" si="36"/>
        <v/>
      </c>
    </row>
    <row r="585" spans="1:5" ht="13.8" hidden="1" thickBot="1" x14ac:dyDescent="0.3">
      <c r="A585" s="890"/>
      <c r="B585" s="883">
        <f t="shared" si="34"/>
        <v>557</v>
      </c>
      <c r="C585" s="908" t="str">
        <f t="shared" si="36"/>
        <v/>
      </c>
      <c r="D585" s="908" t="str">
        <f t="shared" si="36"/>
        <v/>
      </c>
      <c r="E585" s="978" t="str">
        <f t="shared" si="36"/>
        <v/>
      </c>
    </row>
    <row r="586" spans="1:5" ht="13.8" hidden="1" thickBot="1" x14ac:dyDescent="0.3">
      <c r="A586" s="890"/>
      <c r="B586" s="883">
        <f t="shared" si="34"/>
        <v>558</v>
      </c>
      <c r="C586" s="908" t="str">
        <f t="shared" si="36"/>
        <v/>
      </c>
      <c r="D586" s="908" t="str">
        <f t="shared" si="36"/>
        <v/>
      </c>
      <c r="E586" s="978" t="str">
        <f t="shared" si="36"/>
        <v/>
      </c>
    </row>
    <row r="587" spans="1:5" ht="13.8" hidden="1" thickBot="1" x14ac:dyDescent="0.3">
      <c r="A587" s="890"/>
      <c r="B587" s="883">
        <f t="shared" si="34"/>
        <v>559</v>
      </c>
      <c r="C587" s="908" t="str">
        <f t="shared" si="36"/>
        <v/>
      </c>
      <c r="D587" s="908" t="str">
        <f t="shared" si="36"/>
        <v/>
      </c>
      <c r="E587" s="978" t="str">
        <f t="shared" si="36"/>
        <v/>
      </c>
    </row>
    <row r="588" spans="1:5" ht="13.8" hidden="1" thickBot="1" x14ac:dyDescent="0.3">
      <c r="A588" s="890"/>
      <c r="B588" s="883">
        <f t="shared" si="34"/>
        <v>560</v>
      </c>
      <c r="C588" s="908" t="str">
        <f t="shared" si="36"/>
        <v/>
      </c>
      <c r="D588" s="908" t="str">
        <f t="shared" si="36"/>
        <v/>
      </c>
      <c r="E588" s="978" t="str">
        <f t="shared" si="36"/>
        <v/>
      </c>
    </row>
    <row r="589" spans="1:5" ht="13.8" hidden="1" thickBot="1" x14ac:dyDescent="0.3">
      <c r="A589" s="890"/>
      <c r="B589" s="883">
        <f t="shared" si="34"/>
        <v>561</v>
      </c>
      <c r="C589" s="908" t="str">
        <f t="shared" ref="C589:E608" si="37">IF($B589&gt;$C$11*12,"",C$19)</f>
        <v/>
      </c>
      <c r="D589" s="908" t="str">
        <f t="shared" si="37"/>
        <v/>
      </c>
      <c r="E589" s="978" t="str">
        <f t="shared" si="37"/>
        <v/>
      </c>
    </row>
    <row r="590" spans="1:5" ht="13.8" hidden="1" thickBot="1" x14ac:dyDescent="0.3">
      <c r="A590" s="890"/>
      <c r="B590" s="883">
        <f t="shared" si="34"/>
        <v>562</v>
      </c>
      <c r="C590" s="908" t="str">
        <f t="shared" si="37"/>
        <v/>
      </c>
      <c r="D590" s="908" t="str">
        <f t="shared" si="37"/>
        <v/>
      </c>
      <c r="E590" s="978" t="str">
        <f t="shared" si="37"/>
        <v/>
      </c>
    </row>
    <row r="591" spans="1:5" ht="13.8" hidden="1" thickBot="1" x14ac:dyDescent="0.3">
      <c r="A591" s="890"/>
      <c r="B591" s="883">
        <f t="shared" si="34"/>
        <v>563</v>
      </c>
      <c r="C591" s="908" t="str">
        <f t="shared" si="37"/>
        <v/>
      </c>
      <c r="D591" s="908" t="str">
        <f t="shared" si="37"/>
        <v/>
      </c>
      <c r="E591" s="978" t="str">
        <f t="shared" si="37"/>
        <v/>
      </c>
    </row>
    <row r="592" spans="1:5" ht="13.8" hidden="1" thickBot="1" x14ac:dyDescent="0.3">
      <c r="A592" s="890"/>
      <c r="B592" s="883">
        <f t="shared" si="34"/>
        <v>564</v>
      </c>
      <c r="C592" s="908" t="str">
        <f t="shared" si="37"/>
        <v/>
      </c>
      <c r="D592" s="908" t="str">
        <f t="shared" si="37"/>
        <v/>
      </c>
      <c r="E592" s="978" t="str">
        <f t="shared" si="37"/>
        <v/>
      </c>
    </row>
    <row r="593" spans="1:5" ht="13.8" hidden="1" thickBot="1" x14ac:dyDescent="0.3">
      <c r="A593" s="890"/>
      <c r="B593" s="883">
        <f t="shared" si="34"/>
        <v>565</v>
      </c>
      <c r="C593" s="908" t="str">
        <f t="shared" si="37"/>
        <v/>
      </c>
      <c r="D593" s="908" t="str">
        <f t="shared" si="37"/>
        <v/>
      </c>
      <c r="E593" s="978" t="str">
        <f t="shared" si="37"/>
        <v/>
      </c>
    </row>
    <row r="594" spans="1:5" ht="13.8" hidden="1" thickBot="1" x14ac:dyDescent="0.3">
      <c r="A594" s="890"/>
      <c r="B594" s="883">
        <f t="shared" si="34"/>
        <v>566</v>
      </c>
      <c r="C594" s="908" t="str">
        <f t="shared" si="37"/>
        <v/>
      </c>
      <c r="D594" s="908" t="str">
        <f t="shared" si="37"/>
        <v/>
      </c>
      <c r="E594" s="978" t="str">
        <f t="shared" si="37"/>
        <v/>
      </c>
    </row>
    <row r="595" spans="1:5" ht="13.8" hidden="1" thickBot="1" x14ac:dyDescent="0.3">
      <c r="A595" s="890"/>
      <c r="B595" s="883">
        <f t="shared" si="34"/>
        <v>567</v>
      </c>
      <c r="C595" s="908" t="str">
        <f t="shared" si="37"/>
        <v/>
      </c>
      <c r="D595" s="908" t="str">
        <f t="shared" si="37"/>
        <v/>
      </c>
      <c r="E595" s="978" t="str">
        <f t="shared" si="37"/>
        <v/>
      </c>
    </row>
    <row r="596" spans="1:5" ht="13.8" hidden="1" thickBot="1" x14ac:dyDescent="0.3">
      <c r="A596" s="890"/>
      <c r="B596" s="883">
        <f t="shared" si="34"/>
        <v>568</v>
      </c>
      <c r="C596" s="908" t="str">
        <f t="shared" si="37"/>
        <v/>
      </c>
      <c r="D596" s="908" t="str">
        <f t="shared" si="37"/>
        <v/>
      </c>
      <c r="E596" s="978" t="str">
        <f t="shared" si="37"/>
        <v/>
      </c>
    </row>
    <row r="597" spans="1:5" ht="13.8" hidden="1" thickBot="1" x14ac:dyDescent="0.3">
      <c r="A597" s="890"/>
      <c r="B597" s="883">
        <f t="shared" si="34"/>
        <v>569</v>
      </c>
      <c r="C597" s="908" t="str">
        <f t="shared" si="37"/>
        <v/>
      </c>
      <c r="D597" s="908" t="str">
        <f t="shared" si="37"/>
        <v/>
      </c>
      <c r="E597" s="978" t="str">
        <f t="shared" si="37"/>
        <v/>
      </c>
    </row>
    <row r="598" spans="1:5" ht="13.8" hidden="1" thickBot="1" x14ac:dyDescent="0.3">
      <c r="A598" s="890"/>
      <c r="B598" s="883">
        <f t="shared" si="34"/>
        <v>570</v>
      </c>
      <c r="C598" s="908" t="str">
        <f t="shared" si="37"/>
        <v/>
      </c>
      <c r="D598" s="908" t="str">
        <f t="shared" si="37"/>
        <v/>
      </c>
      <c r="E598" s="978" t="str">
        <f t="shared" si="37"/>
        <v/>
      </c>
    </row>
    <row r="599" spans="1:5" ht="13.8" hidden="1" thickBot="1" x14ac:dyDescent="0.3">
      <c r="A599" s="890"/>
      <c r="B599" s="883">
        <f t="shared" si="34"/>
        <v>571</v>
      </c>
      <c r="C599" s="908" t="str">
        <f t="shared" si="37"/>
        <v/>
      </c>
      <c r="D599" s="908" t="str">
        <f t="shared" si="37"/>
        <v/>
      </c>
      <c r="E599" s="978" t="str">
        <f t="shared" si="37"/>
        <v/>
      </c>
    </row>
    <row r="600" spans="1:5" ht="13.8" hidden="1" thickBot="1" x14ac:dyDescent="0.3">
      <c r="A600" s="890"/>
      <c r="B600" s="883">
        <f t="shared" si="34"/>
        <v>572</v>
      </c>
      <c r="C600" s="908" t="str">
        <f t="shared" si="37"/>
        <v/>
      </c>
      <c r="D600" s="908" t="str">
        <f t="shared" si="37"/>
        <v/>
      </c>
      <c r="E600" s="978" t="str">
        <f t="shared" si="37"/>
        <v/>
      </c>
    </row>
    <row r="601" spans="1:5" ht="13.8" hidden="1" thickBot="1" x14ac:dyDescent="0.3">
      <c r="A601" s="890"/>
      <c r="B601" s="883">
        <f t="shared" si="34"/>
        <v>573</v>
      </c>
      <c r="C601" s="908" t="str">
        <f t="shared" si="37"/>
        <v/>
      </c>
      <c r="D601" s="908" t="str">
        <f t="shared" si="37"/>
        <v/>
      </c>
      <c r="E601" s="978" t="str">
        <f t="shared" si="37"/>
        <v/>
      </c>
    </row>
    <row r="602" spans="1:5" ht="13.8" hidden="1" thickBot="1" x14ac:dyDescent="0.3">
      <c r="A602" s="890"/>
      <c r="B602" s="883">
        <f t="shared" ref="B602:B628" si="38">B601+1</f>
        <v>574</v>
      </c>
      <c r="C602" s="908" t="str">
        <f t="shared" si="37"/>
        <v/>
      </c>
      <c r="D602" s="908" t="str">
        <f t="shared" si="37"/>
        <v/>
      </c>
      <c r="E602" s="978" t="str">
        <f t="shared" si="37"/>
        <v/>
      </c>
    </row>
    <row r="603" spans="1:5" ht="13.8" hidden="1" thickBot="1" x14ac:dyDescent="0.3">
      <c r="A603" s="890"/>
      <c r="B603" s="883">
        <f t="shared" si="38"/>
        <v>575</v>
      </c>
      <c r="C603" s="908" t="str">
        <f t="shared" si="37"/>
        <v/>
      </c>
      <c r="D603" s="908" t="str">
        <f t="shared" si="37"/>
        <v/>
      </c>
      <c r="E603" s="978" t="str">
        <f t="shared" si="37"/>
        <v/>
      </c>
    </row>
    <row r="604" spans="1:5" ht="13.8" hidden="1" thickBot="1" x14ac:dyDescent="0.3">
      <c r="A604" s="890"/>
      <c r="B604" s="883">
        <f t="shared" si="38"/>
        <v>576</v>
      </c>
      <c r="C604" s="908" t="str">
        <f t="shared" si="37"/>
        <v/>
      </c>
      <c r="D604" s="908" t="str">
        <f t="shared" si="37"/>
        <v/>
      </c>
      <c r="E604" s="978" t="str">
        <f t="shared" si="37"/>
        <v/>
      </c>
    </row>
    <row r="605" spans="1:5" ht="13.8" hidden="1" thickBot="1" x14ac:dyDescent="0.3">
      <c r="A605" s="890"/>
      <c r="B605" s="883">
        <f t="shared" si="38"/>
        <v>577</v>
      </c>
      <c r="C605" s="908" t="str">
        <f t="shared" si="37"/>
        <v/>
      </c>
      <c r="D605" s="908" t="str">
        <f t="shared" si="37"/>
        <v/>
      </c>
      <c r="E605" s="978" t="str">
        <f t="shared" si="37"/>
        <v/>
      </c>
    </row>
    <row r="606" spans="1:5" ht="13.8" hidden="1" thickBot="1" x14ac:dyDescent="0.3">
      <c r="A606" s="890"/>
      <c r="B606" s="883">
        <f t="shared" si="38"/>
        <v>578</v>
      </c>
      <c r="C606" s="908" t="str">
        <f t="shared" si="37"/>
        <v/>
      </c>
      <c r="D606" s="908" t="str">
        <f t="shared" si="37"/>
        <v/>
      </c>
      <c r="E606" s="978" t="str">
        <f t="shared" si="37"/>
        <v/>
      </c>
    </row>
    <row r="607" spans="1:5" ht="13.8" hidden="1" thickBot="1" x14ac:dyDescent="0.3">
      <c r="A607" s="890"/>
      <c r="B607" s="883">
        <f t="shared" si="38"/>
        <v>579</v>
      </c>
      <c r="C607" s="908" t="str">
        <f t="shared" si="37"/>
        <v/>
      </c>
      <c r="D607" s="908" t="str">
        <f t="shared" si="37"/>
        <v/>
      </c>
      <c r="E607" s="978" t="str">
        <f t="shared" si="37"/>
        <v/>
      </c>
    </row>
    <row r="608" spans="1:5" ht="13.8" hidden="1" thickBot="1" x14ac:dyDescent="0.3">
      <c r="A608" s="890"/>
      <c r="B608" s="883">
        <f t="shared" si="38"/>
        <v>580</v>
      </c>
      <c r="C608" s="908" t="str">
        <f t="shared" si="37"/>
        <v/>
      </c>
      <c r="D608" s="908" t="str">
        <f t="shared" si="37"/>
        <v/>
      </c>
      <c r="E608" s="978" t="str">
        <f t="shared" si="37"/>
        <v/>
      </c>
    </row>
    <row r="609" spans="1:5" ht="13.8" hidden="1" thickBot="1" x14ac:dyDescent="0.3">
      <c r="A609" s="890"/>
      <c r="B609" s="883">
        <f t="shared" si="38"/>
        <v>581</v>
      </c>
      <c r="C609" s="908" t="str">
        <f t="shared" ref="C609:E628" si="39">IF($B609&gt;$C$11*12,"",C$19)</f>
        <v/>
      </c>
      <c r="D609" s="908" t="str">
        <f t="shared" si="39"/>
        <v/>
      </c>
      <c r="E609" s="978" t="str">
        <f t="shared" si="39"/>
        <v/>
      </c>
    </row>
    <row r="610" spans="1:5" ht="13.8" hidden="1" thickBot="1" x14ac:dyDescent="0.3">
      <c r="A610" s="890"/>
      <c r="B610" s="883">
        <f t="shared" si="38"/>
        <v>582</v>
      </c>
      <c r="C610" s="908" t="str">
        <f t="shared" si="39"/>
        <v/>
      </c>
      <c r="D610" s="908" t="str">
        <f t="shared" si="39"/>
        <v/>
      </c>
      <c r="E610" s="978" t="str">
        <f t="shared" si="39"/>
        <v/>
      </c>
    </row>
    <row r="611" spans="1:5" ht="13.8" hidden="1" thickBot="1" x14ac:dyDescent="0.3">
      <c r="A611" s="890"/>
      <c r="B611" s="883">
        <f t="shared" si="38"/>
        <v>583</v>
      </c>
      <c r="C611" s="908" t="str">
        <f t="shared" si="39"/>
        <v/>
      </c>
      <c r="D611" s="908" t="str">
        <f t="shared" si="39"/>
        <v/>
      </c>
      <c r="E611" s="978" t="str">
        <f t="shared" si="39"/>
        <v/>
      </c>
    </row>
    <row r="612" spans="1:5" ht="13.8" hidden="1" thickBot="1" x14ac:dyDescent="0.3">
      <c r="A612" s="890"/>
      <c r="B612" s="883">
        <f t="shared" si="38"/>
        <v>584</v>
      </c>
      <c r="C612" s="908" t="str">
        <f t="shared" si="39"/>
        <v/>
      </c>
      <c r="D612" s="908" t="str">
        <f t="shared" si="39"/>
        <v/>
      </c>
      <c r="E612" s="978" t="str">
        <f t="shared" si="39"/>
        <v/>
      </c>
    </row>
    <row r="613" spans="1:5" ht="13.8" hidden="1" thickBot="1" x14ac:dyDescent="0.3">
      <c r="A613" s="890"/>
      <c r="B613" s="883">
        <f t="shared" si="38"/>
        <v>585</v>
      </c>
      <c r="C613" s="908" t="str">
        <f t="shared" si="39"/>
        <v/>
      </c>
      <c r="D613" s="908" t="str">
        <f t="shared" si="39"/>
        <v/>
      </c>
      <c r="E613" s="978" t="str">
        <f t="shared" si="39"/>
        <v/>
      </c>
    </row>
    <row r="614" spans="1:5" ht="13.8" hidden="1" thickBot="1" x14ac:dyDescent="0.3">
      <c r="A614" s="890"/>
      <c r="B614" s="883">
        <f t="shared" si="38"/>
        <v>586</v>
      </c>
      <c r="C614" s="908" t="str">
        <f t="shared" si="39"/>
        <v/>
      </c>
      <c r="D614" s="908" t="str">
        <f t="shared" si="39"/>
        <v/>
      </c>
      <c r="E614" s="978" t="str">
        <f t="shared" si="39"/>
        <v/>
      </c>
    </row>
    <row r="615" spans="1:5" ht="13.8" hidden="1" thickBot="1" x14ac:dyDescent="0.3">
      <c r="A615" s="890"/>
      <c r="B615" s="883">
        <f t="shared" si="38"/>
        <v>587</v>
      </c>
      <c r="C615" s="908" t="str">
        <f t="shared" si="39"/>
        <v/>
      </c>
      <c r="D615" s="908" t="str">
        <f t="shared" si="39"/>
        <v/>
      </c>
      <c r="E615" s="978" t="str">
        <f t="shared" si="39"/>
        <v/>
      </c>
    </row>
    <row r="616" spans="1:5" ht="13.8" hidden="1" thickBot="1" x14ac:dyDescent="0.3">
      <c r="A616" s="890"/>
      <c r="B616" s="883">
        <f t="shared" si="38"/>
        <v>588</v>
      </c>
      <c r="C616" s="908" t="str">
        <f t="shared" si="39"/>
        <v/>
      </c>
      <c r="D616" s="908" t="str">
        <f t="shared" si="39"/>
        <v/>
      </c>
      <c r="E616" s="978" t="str">
        <f t="shared" si="39"/>
        <v/>
      </c>
    </row>
    <row r="617" spans="1:5" ht="13.8" hidden="1" thickBot="1" x14ac:dyDescent="0.3">
      <c r="A617" s="890"/>
      <c r="B617" s="883">
        <f t="shared" si="38"/>
        <v>589</v>
      </c>
      <c r="C617" s="908" t="str">
        <f t="shared" si="39"/>
        <v/>
      </c>
      <c r="D617" s="908" t="str">
        <f t="shared" si="39"/>
        <v/>
      </c>
      <c r="E617" s="978" t="str">
        <f t="shared" si="39"/>
        <v/>
      </c>
    </row>
    <row r="618" spans="1:5" ht="13.8" hidden="1" thickBot="1" x14ac:dyDescent="0.3">
      <c r="A618" s="890"/>
      <c r="B618" s="883">
        <f t="shared" si="38"/>
        <v>590</v>
      </c>
      <c r="C618" s="908" t="str">
        <f t="shared" si="39"/>
        <v/>
      </c>
      <c r="D618" s="908" t="str">
        <f t="shared" si="39"/>
        <v/>
      </c>
      <c r="E618" s="978" t="str">
        <f t="shared" si="39"/>
        <v/>
      </c>
    </row>
    <row r="619" spans="1:5" ht="13.8" hidden="1" thickBot="1" x14ac:dyDescent="0.3">
      <c r="A619" s="890"/>
      <c r="B619" s="883">
        <f t="shared" si="38"/>
        <v>591</v>
      </c>
      <c r="C619" s="908" t="str">
        <f t="shared" si="39"/>
        <v/>
      </c>
      <c r="D619" s="908" t="str">
        <f t="shared" si="39"/>
        <v/>
      </c>
      <c r="E619" s="978" t="str">
        <f t="shared" si="39"/>
        <v/>
      </c>
    </row>
    <row r="620" spans="1:5" ht="13.8" hidden="1" thickBot="1" x14ac:dyDescent="0.3">
      <c r="A620" s="890"/>
      <c r="B620" s="883">
        <f t="shared" si="38"/>
        <v>592</v>
      </c>
      <c r="C620" s="908" t="str">
        <f t="shared" si="39"/>
        <v/>
      </c>
      <c r="D620" s="908" t="str">
        <f t="shared" si="39"/>
        <v/>
      </c>
      <c r="E620" s="978" t="str">
        <f t="shared" si="39"/>
        <v/>
      </c>
    </row>
    <row r="621" spans="1:5" ht="13.8" hidden="1" thickBot="1" x14ac:dyDescent="0.3">
      <c r="A621" s="890"/>
      <c r="B621" s="883">
        <f t="shared" si="38"/>
        <v>593</v>
      </c>
      <c r="C621" s="908" t="str">
        <f t="shared" si="39"/>
        <v/>
      </c>
      <c r="D621" s="908" t="str">
        <f t="shared" si="39"/>
        <v/>
      </c>
      <c r="E621" s="978" t="str">
        <f t="shared" si="39"/>
        <v/>
      </c>
    </row>
    <row r="622" spans="1:5" ht="13.8" hidden="1" thickBot="1" x14ac:dyDescent="0.3">
      <c r="A622" s="890"/>
      <c r="B622" s="883">
        <f t="shared" si="38"/>
        <v>594</v>
      </c>
      <c r="C622" s="908" t="str">
        <f t="shared" si="39"/>
        <v/>
      </c>
      <c r="D622" s="908" t="str">
        <f t="shared" si="39"/>
        <v/>
      </c>
      <c r="E622" s="978" t="str">
        <f t="shared" si="39"/>
        <v/>
      </c>
    </row>
    <row r="623" spans="1:5" ht="13.8" hidden="1" thickBot="1" x14ac:dyDescent="0.3">
      <c r="A623" s="890"/>
      <c r="B623" s="883">
        <f t="shared" si="38"/>
        <v>595</v>
      </c>
      <c r="C623" s="908" t="str">
        <f t="shared" si="39"/>
        <v/>
      </c>
      <c r="D623" s="908" t="str">
        <f t="shared" si="39"/>
        <v/>
      </c>
      <c r="E623" s="978" t="str">
        <f t="shared" si="39"/>
        <v/>
      </c>
    </row>
    <row r="624" spans="1:5" ht="13.8" hidden="1" thickBot="1" x14ac:dyDescent="0.3">
      <c r="A624" s="890"/>
      <c r="B624" s="883">
        <f t="shared" si="38"/>
        <v>596</v>
      </c>
      <c r="C624" s="908" t="str">
        <f t="shared" si="39"/>
        <v/>
      </c>
      <c r="D624" s="908" t="str">
        <f t="shared" si="39"/>
        <v/>
      </c>
      <c r="E624" s="978" t="str">
        <f t="shared" si="39"/>
        <v/>
      </c>
    </row>
    <row r="625" spans="1:11" ht="13.8" hidden="1" thickBot="1" x14ac:dyDescent="0.3">
      <c r="A625" s="890"/>
      <c r="B625" s="883">
        <f t="shared" si="38"/>
        <v>597</v>
      </c>
      <c r="C625" s="908" t="str">
        <f t="shared" si="39"/>
        <v/>
      </c>
      <c r="D625" s="908" t="str">
        <f t="shared" si="39"/>
        <v/>
      </c>
      <c r="E625" s="978" t="str">
        <f t="shared" si="39"/>
        <v/>
      </c>
    </row>
    <row r="626" spans="1:11" ht="13.8" hidden="1" thickBot="1" x14ac:dyDescent="0.3">
      <c r="A626" s="890"/>
      <c r="B626" s="883">
        <f t="shared" si="38"/>
        <v>598</v>
      </c>
      <c r="C626" s="908" t="str">
        <f t="shared" si="39"/>
        <v/>
      </c>
      <c r="D626" s="908" t="str">
        <f t="shared" si="39"/>
        <v/>
      </c>
      <c r="E626" s="978" t="str">
        <f t="shared" si="39"/>
        <v/>
      </c>
    </row>
    <row r="627" spans="1:11" ht="13.8" hidden="1" thickBot="1" x14ac:dyDescent="0.3">
      <c r="A627" s="890"/>
      <c r="B627" s="883">
        <f t="shared" si="38"/>
        <v>599</v>
      </c>
      <c r="C627" s="908" t="str">
        <f t="shared" si="39"/>
        <v/>
      </c>
      <c r="D627" s="908" t="str">
        <f t="shared" si="39"/>
        <v/>
      </c>
      <c r="E627" s="978" t="str">
        <f t="shared" si="39"/>
        <v/>
      </c>
    </row>
    <row r="628" spans="1:11" ht="13.8" hidden="1" thickBot="1" x14ac:dyDescent="0.3">
      <c r="A628" s="890"/>
      <c r="B628" s="883">
        <f t="shared" si="38"/>
        <v>600</v>
      </c>
      <c r="C628" s="908" t="str">
        <f t="shared" si="39"/>
        <v/>
      </c>
      <c r="D628" s="908" t="str">
        <f t="shared" si="39"/>
        <v/>
      </c>
      <c r="E628" s="978" t="str">
        <f t="shared" si="39"/>
        <v/>
      </c>
    </row>
    <row r="629" spans="1:11" ht="13.8" thickBot="1" x14ac:dyDescent="0.3">
      <c r="A629" s="890"/>
      <c r="C629" s="912"/>
      <c r="D629" s="912"/>
      <c r="E629" s="983"/>
      <c r="G629" s="892" t="s">
        <v>974</v>
      </c>
      <c r="H629" s="893">
        <f>Sources!C18</f>
        <v>0</v>
      </c>
      <c r="J629" s="892" t="s">
        <v>974</v>
      </c>
      <c r="K629" s="893"/>
    </row>
    <row r="630" spans="1:11" x14ac:dyDescent="0.25">
      <c r="A630" s="890"/>
      <c r="C630" s="912"/>
      <c r="D630" s="912"/>
      <c r="E630" s="983"/>
      <c r="G630" s="892" t="s">
        <v>975</v>
      </c>
      <c r="H630" s="984">
        <f>-PV(C15,H11,0,H629)</f>
        <v>0</v>
      </c>
      <c r="J630" s="892" t="s">
        <v>975</v>
      </c>
      <c r="K630" s="984">
        <f>-PV(C15,K11,0,K629)</f>
        <v>0</v>
      </c>
    </row>
    <row r="631" spans="1:11" x14ac:dyDescent="0.25">
      <c r="A631" s="890"/>
      <c r="C631" s="912"/>
      <c r="D631" s="912"/>
      <c r="E631" s="983"/>
      <c r="G631" s="890"/>
      <c r="H631" s="968"/>
      <c r="J631" s="890"/>
      <c r="K631" s="968"/>
    </row>
    <row r="632" spans="1:11" ht="13.8" thickBot="1" x14ac:dyDescent="0.3">
      <c r="A632" s="981" t="s">
        <v>976</v>
      </c>
      <c r="B632" s="985"/>
      <c r="C632" s="986">
        <f>NPV(C15/12,C19:C386)</f>
        <v>0</v>
      </c>
      <c r="D632" s="986">
        <f>NPV(E11/12,D19:D386)</f>
        <v>0</v>
      </c>
      <c r="E632" s="987">
        <f>NPV(C15/12,E19:E386)</f>
        <v>0</v>
      </c>
      <c r="G632" s="981" t="s">
        <v>977</v>
      </c>
      <c r="H632" s="982">
        <f>H629-H630</f>
        <v>0</v>
      </c>
      <c r="J632" s="981" t="s">
        <v>977</v>
      </c>
      <c r="K632" s="982">
        <f>K629-K630</f>
        <v>0</v>
      </c>
    </row>
    <row r="633" spans="1:11" x14ac:dyDescent="0.25">
      <c r="E633" s="988"/>
      <c r="H633" s="913"/>
    </row>
    <row r="634" spans="1:11" x14ac:dyDescent="0.25">
      <c r="E634" s="988"/>
    </row>
    <row r="635" spans="1:11" x14ac:dyDescent="0.25">
      <c r="E635" s="988"/>
    </row>
    <row r="636" spans="1:11" x14ac:dyDescent="0.25">
      <c r="E636" s="988"/>
    </row>
    <row r="639" spans="1:11" s="729" customFormat="1" ht="24" customHeight="1" x14ac:dyDescent="0.25">
      <c r="A639" s="710"/>
      <c r="B639" s="710"/>
      <c r="C639" s="710"/>
      <c r="D639" s="710"/>
      <c r="E639" s="710"/>
      <c r="G639" s="786"/>
    </row>
  </sheetData>
  <sheetProtection selectLockedCells="1"/>
  <mergeCells count="5">
    <mergeCell ref="A6:E7"/>
    <mergeCell ref="G6:H7"/>
    <mergeCell ref="J6:K7"/>
    <mergeCell ref="G386:H387"/>
    <mergeCell ref="J386:K387"/>
  </mergeCells>
  <printOptions horizontalCentered="1" verticalCentered="1"/>
  <pageMargins left="0.5" right="0.5" top="1" bottom="1" header="0.5" footer="0.5"/>
  <pageSetup scale="8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pageSetUpPr fitToPage="1"/>
  </sheetPr>
  <dimension ref="A1:K56"/>
  <sheetViews>
    <sheetView showGridLines="0" zoomScale="110" zoomScaleNormal="110" zoomScaleSheetLayoutView="100" workbookViewId="0">
      <selection activeCell="G43" sqref="G43:I44"/>
    </sheetView>
  </sheetViews>
  <sheetFormatPr defaultColWidth="9.109375" defaultRowHeight="13.2" x14ac:dyDescent="0.25"/>
  <cols>
    <col min="1" max="2" width="7.6640625" style="866" customWidth="1"/>
    <col min="3" max="3" width="8.6640625" style="866" customWidth="1"/>
    <col min="4" max="4" width="15.6640625" style="866" customWidth="1"/>
    <col min="5" max="7" width="9.109375" style="866"/>
    <col min="8" max="8" width="4.6640625" style="866" customWidth="1"/>
    <col min="9" max="9" width="9.109375" style="866"/>
    <col min="10" max="11" width="7.6640625" style="866" customWidth="1"/>
    <col min="12" max="16384" width="9.109375" style="866"/>
  </cols>
  <sheetData>
    <row r="1" spans="1:11" s="540" customFormat="1" x14ac:dyDescent="0.25">
      <c r="A1" s="539" t="s">
        <v>588</v>
      </c>
      <c r="K1" s="541" t="str">
        <f>'Project Information'!D4</f>
        <v>Project Name</v>
      </c>
    </row>
    <row r="2" spans="1:11" s="540" customFormat="1" x14ac:dyDescent="0.25">
      <c r="K2" s="541"/>
    </row>
    <row r="3" spans="1:11" s="540" customFormat="1" ht="13.8" thickBot="1" x14ac:dyDescent="0.3">
      <c r="A3" s="542"/>
      <c r="B3" s="542"/>
      <c r="C3" s="542"/>
      <c r="D3" s="864"/>
      <c r="E3" s="865" t="s">
        <v>812</v>
      </c>
      <c r="F3" s="542"/>
      <c r="G3" s="542"/>
      <c r="H3" s="542"/>
      <c r="I3" s="542"/>
      <c r="J3" s="544"/>
      <c r="K3" s="542"/>
    </row>
    <row r="4" spans="1:11" ht="13.8" thickTop="1" x14ac:dyDescent="0.25">
      <c r="E4" s="867"/>
    </row>
    <row r="5" spans="1:11" ht="13.65" customHeight="1" x14ac:dyDescent="0.25"/>
    <row r="7" spans="1:11" ht="13.5" customHeight="1" x14ac:dyDescent="0.25">
      <c r="C7" s="868" t="s">
        <v>941</v>
      </c>
      <c r="D7" s="869"/>
      <c r="E7" s="869"/>
      <c r="F7" s="869"/>
      <c r="G7" s="869" t="s">
        <v>942</v>
      </c>
      <c r="H7" s="869"/>
      <c r="I7" s="870"/>
    </row>
    <row r="8" spans="1:11" x14ac:dyDescent="0.25">
      <c r="C8" s="871"/>
      <c r="D8" s="872"/>
      <c r="E8" s="872"/>
      <c r="F8" s="872"/>
      <c r="G8" s="873" t="s">
        <v>943</v>
      </c>
      <c r="H8" s="873"/>
      <c r="I8" s="874"/>
    </row>
    <row r="9" spans="1:11" x14ac:dyDescent="0.25">
      <c r="C9" s="875"/>
      <c r="G9" s="875"/>
      <c r="I9" s="876"/>
    </row>
    <row r="10" spans="1:11" ht="13.8" thickBot="1" x14ac:dyDescent="0.3">
      <c r="C10" s="875" t="s">
        <v>944</v>
      </c>
      <c r="G10" s="875"/>
      <c r="I10" s="876"/>
    </row>
    <row r="11" spans="1:11" x14ac:dyDescent="0.25">
      <c r="C11" s="875"/>
      <c r="G11" s="1764"/>
      <c r="H11" s="1765"/>
      <c r="I11" s="1766"/>
    </row>
    <row r="12" spans="1:11" ht="13.8" thickBot="1" x14ac:dyDescent="0.3">
      <c r="C12" s="875"/>
      <c r="D12" s="866" t="s">
        <v>945</v>
      </c>
      <c r="G12" s="1767"/>
      <c r="H12" s="1768"/>
      <c r="I12" s="1769"/>
    </row>
    <row r="13" spans="1:11" x14ac:dyDescent="0.25">
      <c r="C13" s="875"/>
      <c r="G13" s="1764"/>
      <c r="H13" s="1765"/>
      <c r="I13" s="1766"/>
    </row>
    <row r="14" spans="1:11" ht="13.8" thickBot="1" x14ac:dyDescent="0.3">
      <c r="C14" s="875"/>
      <c r="D14" s="866" t="s">
        <v>946</v>
      </c>
      <c r="G14" s="1767"/>
      <c r="H14" s="1768"/>
      <c r="I14" s="1769"/>
    </row>
    <row r="15" spans="1:11" x14ac:dyDescent="0.25">
      <c r="C15" s="875"/>
      <c r="G15" s="1764"/>
      <c r="H15" s="1765"/>
      <c r="I15" s="1766"/>
    </row>
    <row r="16" spans="1:11" ht="13.8" thickBot="1" x14ac:dyDescent="0.3">
      <c r="C16" s="875"/>
      <c r="D16" s="866" t="s">
        <v>947</v>
      </c>
      <c r="G16" s="1767"/>
      <c r="H16" s="1768"/>
      <c r="I16" s="1769"/>
    </row>
    <row r="17" spans="3:9" x14ac:dyDescent="0.25">
      <c r="C17" s="875"/>
      <c r="G17" s="1764"/>
      <c r="H17" s="1765"/>
      <c r="I17" s="1766"/>
    </row>
    <row r="18" spans="3:9" ht="13.8" thickBot="1" x14ac:dyDescent="0.3">
      <c r="C18" s="875"/>
      <c r="D18" s="866" t="s">
        <v>948</v>
      </c>
      <c r="G18" s="1767"/>
      <c r="H18" s="1768"/>
      <c r="I18" s="1769"/>
    </row>
    <row r="19" spans="3:9" x14ac:dyDescent="0.25">
      <c r="C19" s="875"/>
      <c r="G19" s="875"/>
      <c r="I19" s="876"/>
    </row>
    <row r="20" spans="3:9" ht="13.8" thickBot="1" x14ac:dyDescent="0.3">
      <c r="C20" s="875" t="s">
        <v>949</v>
      </c>
      <c r="G20" s="875"/>
      <c r="I20" s="876"/>
    </row>
    <row r="21" spans="3:9" x14ac:dyDescent="0.25">
      <c r="C21" s="875"/>
      <c r="G21" s="1764"/>
      <c r="H21" s="1765"/>
      <c r="I21" s="1766"/>
    </row>
    <row r="22" spans="3:9" ht="13.8" thickBot="1" x14ac:dyDescent="0.3">
      <c r="C22" s="875"/>
      <c r="D22" s="866" t="s">
        <v>950</v>
      </c>
      <c r="G22" s="1767"/>
      <c r="H22" s="1768"/>
      <c r="I22" s="1769"/>
    </row>
    <row r="23" spans="3:9" x14ac:dyDescent="0.25">
      <c r="C23" s="875"/>
      <c r="G23" s="1764"/>
      <c r="H23" s="1765"/>
      <c r="I23" s="1766"/>
    </row>
    <row r="24" spans="3:9" ht="13.8" thickBot="1" x14ac:dyDescent="0.3">
      <c r="C24" s="875"/>
      <c r="D24" s="866" t="s">
        <v>951</v>
      </c>
      <c r="G24" s="1767"/>
      <c r="H24" s="1768"/>
      <c r="I24" s="1769"/>
    </row>
    <row r="25" spans="3:9" x14ac:dyDescent="0.25">
      <c r="C25" s="875"/>
      <c r="G25" s="1764"/>
      <c r="H25" s="1765"/>
      <c r="I25" s="1766"/>
    </row>
    <row r="26" spans="3:9" ht="13.8" thickBot="1" x14ac:dyDescent="0.3">
      <c r="C26" s="875"/>
      <c r="D26" s="866" t="s">
        <v>952</v>
      </c>
      <c r="G26" s="1767"/>
      <c r="H26" s="1768"/>
      <c r="I26" s="1769"/>
    </row>
    <row r="27" spans="3:9" x14ac:dyDescent="0.25">
      <c r="C27" s="875"/>
      <c r="G27" s="875"/>
      <c r="I27" s="876"/>
    </row>
    <row r="28" spans="3:9" ht="13.8" thickBot="1" x14ac:dyDescent="0.3">
      <c r="C28" s="875" t="s">
        <v>953</v>
      </c>
      <c r="G28" s="875"/>
      <c r="I28" s="876"/>
    </row>
    <row r="29" spans="3:9" x14ac:dyDescent="0.25">
      <c r="C29" s="875"/>
      <c r="G29" s="1764"/>
      <c r="H29" s="1765"/>
      <c r="I29" s="1766"/>
    </row>
    <row r="30" spans="3:9" ht="13.8" thickBot="1" x14ac:dyDescent="0.3">
      <c r="C30" s="875"/>
      <c r="D30" s="877">
        <v>0.5</v>
      </c>
      <c r="G30" s="1767"/>
      <c r="H30" s="1768"/>
      <c r="I30" s="1769"/>
    </row>
    <row r="31" spans="3:9" ht="12.75" customHeight="1" x14ac:dyDescent="0.25">
      <c r="C31" s="875"/>
      <c r="G31" s="1764"/>
      <c r="H31" s="1765"/>
      <c r="I31" s="1766"/>
    </row>
    <row r="32" spans="3:9" ht="13.8" thickBot="1" x14ac:dyDescent="0.3">
      <c r="C32" s="875"/>
      <c r="D32" s="877">
        <v>0.9</v>
      </c>
      <c r="G32" s="1767"/>
      <c r="H32" s="1768"/>
      <c r="I32" s="1769"/>
    </row>
    <row r="33" spans="3:9" x14ac:dyDescent="0.25">
      <c r="C33" s="875"/>
      <c r="D33" s="877"/>
      <c r="G33" s="1770"/>
      <c r="H33" s="1771"/>
      <c r="I33" s="1772"/>
    </row>
    <row r="34" spans="3:9" ht="13.8" thickBot="1" x14ac:dyDescent="0.3">
      <c r="C34" s="875"/>
      <c r="D34" s="877">
        <v>1</v>
      </c>
      <c r="G34" s="1773"/>
      <c r="H34" s="1774"/>
      <c r="I34" s="1775"/>
    </row>
    <row r="35" spans="3:9" x14ac:dyDescent="0.25">
      <c r="C35" s="875"/>
      <c r="G35" s="1764"/>
      <c r="H35" s="1765"/>
      <c r="I35" s="1766"/>
    </row>
    <row r="36" spans="3:9" ht="13.8" thickBot="1" x14ac:dyDescent="0.3">
      <c r="C36" s="875" t="s">
        <v>954</v>
      </c>
      <c r="G36" s="1767"/>
      <c r="H36" s="1768"/>
      <c r="I36" s="1769"/>
    </row>
    <row r="37" spans="3:9" x14ac:dyDescent="0.25">
      <c r="C37" s="875"/>
      <c r="G37" s="1764"/>
      <c r="H37" s="1765"/>
      <c r="I37" s="1766"/>
    </row>
    <row r="38" spans="3:9" ht="13.8" thickBot="1" x14ac:dyDescent="0.3">
      <c r="C38" s="875" t="s">
        <v>955</v>
      </c>
      <c r="G38" s="1767"/>
      <c r="H38" s="1768"/>
      <c r="I38" s="1769"/>
    </row>
    <row r="39" spans="3:9" x14ac:dyDescent="0.25">
      <c r="C39" s="875"/>
      <c r="G39" s="1764"/>
      <c r="H39" s="1765"/>
      <c r="I39" s="1766"/>
    </row>
    <row r="40" spans="3:9" ht="13.8" thickBot="1" x14ac:dyDescent="0.3">
      <c r="C40" s="875" t="s">
        <v>956</v>
      </c>
      <c r="G40" s="1767"/>
      <c r="H40" s="1768"/>
      <c r="I40" s="1769"/>
    </row>
    <row r="41" spans="3:9" x14ac:dyDescent="0.25">
      <c r="C41" s="875"/>
      <c r="G41" s="875"/>
      <c r="I41" s="876"/>
    </row>
    <row r="42" spans="3:9" ht="13.8" thickBot="1" x14ac:dyDescent="0.3">
      <c r="C42" s="875" t="s">
        <v>957</v>
      </c>
      <c r="G42" s="875"/>
      <c r="I42" s="876"/>
    </row>
    <row r="43" spans="3:9" x14ac:dyDescent="0.25">
      <c r="C43" s="875"/>
      <c r="G43" s="1764"/>
      <c r="H43" s="1765"/>
      <c r="I43" s="1766"/>
    </row>
    <row r="44" spans="3:9" ht="13.8" thickBot="1" x14ac:dyDescent="0.3">
      <c r="C44" s="875"/>
      <c r="D44" s="866" t="s">
        <v>958</v>
      </c>
      <c r="G44" s="1767"/>
      <c r="H44" s="1768"/>
      <c r="I44" s="1769"/>
    </row>
    <row r="45" spans="3:9" x14ac:dyDescent="0.25">
      <c r="C45" s="875"/>
      <c r="G45" s="1764"/>
      <c r="H45" s="1765"/>
      <c r="I45" s="1766"/>
    </row>
    <row r="46" spans="3:9" ht="13.8" thickBot="1" x14ac:dyDescent="0.3">
      <c r="C46" s="875"/>
      <c r="D46" s="866" t="s">
        <v>959</v>
      </c>
      <c r="G46" s="1767"/>
      <c r="H46" s="1768"/>
      <c r="I46" s="1769"/>
    </row>
    <row r="47" spans="3:9" x14ac:dyDescent="0.25">
      <c r="C47" s="871"/>
      <c r="D47" s="872"/>
      <c r="E47" s="872"/>
      <c r="F47" s="872"/>
      <c r="G47" s="871"/>
      <c r="H47" s="872"/>
      <c r="I47" s="878"/>
    </row>
    <row r="49" spans="1:11" x14ac:dyDescent="0.25">
      <c r="C49" s="866" t="s">
        <v>960</v>
      </c>
    </row>
    <row r="53" spans="1:11" s="248" customFormat="1" ht="24" customHeight="1" x14ac:dyDescent="0.25">
      <c r="A53" s="243"/>
      <c r="B53" s="243"/>
      <c r="C53" s="243"/>
      <c r="D53" s="243"/>
      <c r="E53" s="243"/>
      <c r="F53" s="243"/>
      <c r="G53" s="243"/>
      <c r="H53" s="243"/>
      <c r="I53" s="243"/>
      <c r="K53" s="249"/>
    </row>
    <row r="56" spans="1:11" x14ac:dyDescent="0.25">
      <c r="K56" s="879"/>
    </row>
  </sheetData>
  <sheetProtection selectLockedCells="1"/>
  <mergeCells count="15">
    <mergeCell ref="G23:I24"/>
    <mergeCell ref="G11:I12"/>
    <mergeCell ref="G13:I14"/>
    <mergeCell ref="G15:I16"/>
    <mergeCell ref="G17:I18"/>
    <mergeCell ref="G21:I22"/>
    <mergeCell ref="G39:I40"/>
    <mergeCell ref="G43:I44"/>
    <mergeCell ref="G45:I46"/>
    <mergeCell ref="G25:I26"/>
    <mergeCell ref="G29:I30"/>
    <mergeCell ref="G31:I32"/>
    <mergeCell ref="G33:I34"/>
    <mergeCell ref="G35:I36"/>
    <mergeCell ref="G37:I38"/>
  </mergeCells>
  <printOptions horizontalCentered="1"/>
  <pageMargins left="0.5" right="0.5" top="0.5" bottom="0.05" header="0.5" footer="0.5"/>
  <pageSetup scale="8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8"/>
  <dimension ref="A1:BF378"/>
  <sheetViews>
    <sheetView showGridLines="0" showOutlineSymbols="0" defaultGridColor="0" topLeftCell="B104" colorId="12" zoomScaleNormal="100" zoomScaleSheetLayoutView="96" workbookViewId="0">
      <selection activeCell="C128" sqref="C128"/>
    </sheetView>
  </sheetViews>
  <sheetFormatPr defaultColWidth="9.109375" defaultRowHeight="10.199999999999999" outlineLevelRow="4" outlineLevelCol="1" x14ac:dyDescent="0.2"/>
  <cols>
    <col min="1" max="1" width="3.88671875" style="397" hidden="1" customWidth="1"/>
    <col min="2" max="2" width="1.6640625" style="397" customWidth="1"/>
    <col min="3" max="3" width="3.6640625" style="397" customWidth="1"/>
    <col min="4" max="4" width="11.6640625" style="397" customWidth="1"/>
    <col min="5" max="5" width="18.6640625" style="397" customWidth="1"/>
    <col min="6" max="7" width="9.6640625" style="397" customWidth="1" outlineLevel="1"/>
    <col min="8" max="8" width="9.5546875" style="397" customWidth="1" outlineLevel="1"/>
    <col min="9" max="9" width="9.33203125" style="397" customWidth="1" outlineLevel="1"/>
    <col min="10" max="11" width="9.5546875" style="397" customWidth="1" outlineLevel="1"/>
    <col min="12" max="13" width="9.5546875" style="397" customWidth="1"/>
    <col min="14" max="14" width="8.44140625" style="397" hidden="1" customWidth="1"/>
    <col min="15" max="15" width="7.6640625" style="397" hidden="1" customWidth="1"/>
    <col min="16" max="19" width="9.33203125" style="397" customWidth="1"/>
    <col min="20" max="20" width="8.6640625" style="397" customWidth="1"/>
    <col min="21" max="21" width="9.109375" style="397"/>
    <col min="22" max="22" width="12.44140625" style="397" customWidth="1"/>
    <col min="23" max="23" width="9.33203125" style="397" bestFit="1" customWidth="1"/>
    <col min="24" max="24" width="18" style="397" bestFit="1" customWidth="1"/>
    <col min="25" max="25" width="14.5546875" style="397" bestFit="1" customWidth="1"/>
    <col min="26" max="26" width="12.6640625" style="397" bestFit="1" customWidth="1"/>
    <col min="27" max="27" width="9.6640625" style="397" bestFit="1" customWidth="1"/>
    <col min="28" max="28" width="7.109375" style="397" bestFit="1" customWidth="1"/>
    <col min="29" max="30" width="9.109375" style="397" customWidth="1"/>
    <col min="31" max="31" width="9.109375" style="636" customWidth="1"/>
    <col min="32" max="32" width="9.109375" style="397" customWidth="1"/>
    <col min="33" max="33" width="9.109375" style="397"/>
    <col min="34" max="39" width="0" style="397" hidden="1" customWidth="1"/>
    <col min="40" max="16384" width="9.109375" style="397"/>
  </cols>
  <sheetData>
    <row r="1" spans="3:28" x14ac:dyDescent="0.2">
      <c r="C1" s="395" t="s">
        <v>382</v>
      </c>
      <c r="D1" s="395"/>
      <c r="E1" s="396" t="str">
        <f>'Project Information'!D4</f>
        <v>Project Name</v>
      </c>
      <c r="I1" s="398" t="s">
        <v>381</v>
      </c>
      <c r="J1" s="942"/>
    </row>
    <row r="2" spans="3:28" x14ac:dyDescent="0.2">
      <c r="C2" s="399" t="s">
        <v>380</v>
      </c>
      <c r="D2" s="399"/>
      <c r="E2" s="396">
        <f>'Project Information'!D8</f>
        <v>0</v>
      </c>
      <c r="I2" s="398"/>
      <c r="J2" s="400"/>
    </row>
    <row r="3" spans="3:28" x14ac:dyDescent="0.2">
      <c r="I3" s="398"/>
      <c r="J3" s="400"/>
      <c r="T3" s="621" t="s">
        <v>607</v>
      </c>
      <c r="U3" s="611"/>
      <c r="V3" s="622">
        <f>'Tax Credit Calc'!I23</f>
        <v>0</v>
      </c>
      <c r="W3" s="397" t="str">
        <f>IF(W4&lt;&gt;"","SLIHTC","")</f>
        <v/>
      </c>
    </row>
    <row r="4" spans="3:28" x14ac:dyDescent="0.2">
      <c r="C4" s="623" t="s">
        <v>379</v>
      </c>
      <c r="D4" s="610"/>
      <c r="E4" s="610"/>
      <c r="F4" s="610"/>
      <c r="G4" s="610"/>
      <c r="H4" s="610"/>
      <c r="I4" s="610"/>
      <c r="J4" s="610"/>
      <c r="K4" s="610"/>
      <c r="L4" s="610"/>
      <c r="M4" s="624"/>
      <c r="N4" s="421"/>
      <c r="O4" s="401"/>
      <c r="T4" s="625" t="s">
        <v>378</v>
      </c>
      <c r="U4" s="626"/>
      <c r="V4" s="627">
        <f>'Tax Credit Calc'!I25</f>
        <v>0</v>
      </c>
      <c r="W4" s="530" t="str">
        <f>IF(Sources!C56&lt;&gt;"",Sources!C56,"")</f>
        <v/>
      </c>
    </row>
    <row r="5" spans="3:28" x14ac:dyDescent="0.2">
      <c r="C5" s="402" t="s">
        <v>377</v>
      </c>
      <c r="G5" s="397">
        <f>F180</f>
        <v>0</v>
      </c>
      <c r="I5" s="625" t="s">
        <v>376</v>
      </c>
      <c r="J5" s="529"/>
      <c r="K5" s="628" t="s">
        <v>375</v>
      </c>
      <c r="L5" s="628" t="s">
        <v>328</v>
      </c>
      <c r="M5" s="629" t="s">
        <v>327</v>
      </c>
      <c r="N5" s="398"/>
      <c r="O5" s="398"/>
      <c r="T5" s="402" t="s">
        <v>365</v>
      </c>
      <c r="U5" s="394"/>
      <c r="V5" s="403">
        <f>'Tax Credit Calculations'!S45</f>
        <v>0.87</v>
      </c>
      <c r="W5" s="1185" t="str">
        <f>IF(W4="","",Sources!D56)</f>
        <v/>
      </c>
    </row>
    <row r="6" spans="3:28" ht="12.75" customHeight="1" x14ac:dyDescent="0.2">
      <c r="C6" s="1306" t="str">
        <f>IF(SUM(SUMIFS(F153:F177,E153:E177,"30% - LH"),SUMIFS(F153:F177,E153:E177,"40% - LH"))=0,"# @ 50% AMI (low HOME)","# @ 50% AMI or less (low HOME)")</f>
        <v># @ 50% AMI (low HOME)</v>
      </c>
      <c r="D6" s="1307"/>
      <c r="F6" s="404">
        <f>IF($G$5=0,0,G6/$G$5)</f>
        <v>0</v>
      </c>
      <c r="G6" s="397">
        <f>SUM(SUMIFS(F153:F177,E153:E177,"30% - LH"),SUMIFS(F153:F177,E153:E177,"40% - LH"),SUMIFS(F153:F177,E153:E177,"50% - LH"))</f>
        <v>0</v>
      </c>
      <c r="I6" s="402" t="s">
        <v>374</v>
      </c>
      <c r="K6" s="405">
        <v>0.02</v>
      </c>
      <c r="L6" s="405">
        <v>2.5000000000000001E-2</v>
      </c>
      <c r="M6" s="406">
        <v>0.03</v>
      </c>
      <c r="N6" s="405"/>
      <c r="O6" s="398"/>
      <c r="P6" s="407"/>
      <c r="Q6" s="407"/>
      <c r="T6" s="402" t="s">
        <v>364</v>
      </c>
      <c r="U6" s="394"/>
      <c r="V6" s="408">
        <f>'Tax Credit Calculations'!Y48</f>
        <v>0.99990000000000001</v>
      </c>
      <c r="W6" s="1186" t="str">
        <f>IF(W5="","",1)</f>
        <v/>
      </c>
      <c r="X6" s="1781" t="str">
        <f>IF(AND(S79&gt;0,S107&gt;0,S114&gt;0),"Make Sure to add Q107 (Difference between tax credits and equity) to CL interest development costs (not basis eligible)","")</f>
        <v/>
      </c>
      <c r="Y6" s="1781"/>
      <c r="Z6" s="1781"/>
      <c r="AA6" s="1781"/>
    </row>
    <row r="7" spans="3:28" x14ac:dyDescent="0.2">
      <c r="C7" s="1306" t="str">
        <f>IF(SUM(SUMIFS(F153:F177,E153:E177,"30% - HH"),SUMIFS(F153:F177,E153:E177,"40% - HH"))=0,"# @ 50% AMI (High HOME)","# @ 50% AMI or less (High HOME)")</f>
        <v># @ 50% AMI (High HOME)</v>
      </c>
      <c r="D7" s="1307"/>
      <c r="F7" s="404">
        <f>IF($G$5=0,0,G7/$G$5)</f>
        <v>0</v>
      </c>
      <c r="G7" s="397">
        <f>SUM(SUMIFS(F153:F177,E153:E177,"30% - HH"),SUMIFS(F153:F177,E153:E177,"40% - HH"),SUMIFS(F153:F177,E153:E177,"50% - HH"))</f>
        <v>0</v>
      </c>
      <c r="I7" s="402" t="s">
        <v>373</v>
      </c>
      <c r="K7" s="405">
        <v>0.03</v>
      </c>
      <c r="L7" s="405">
        <f>K7</f>
        <v>0.03</v>
      </c>
      <c r="M7" s="406">
        <f>L7</f>
        <v>0.03</v>
      </c>
      <c r="N7" s="405"/>
      <c r="O7" s="398"/>
      <c r="P7" s="407"/>
      <c r="Q7" s="407"/>
      <c r="T7" s="409" t="s">
        <v>363</v>
      </c>
      <c r="U7" s="410"/>
      <c r="V7" s="411">
        <f>V4*V5*10*V6</f>
        <v>0</v>
      </c>
      <c r="W7" s="530" t="str">
        <f>IF(W6="","",W4*W5*W6)</f>
        <v/>
      </c>
      <c r="X7" s="1781"/>
      <c r="Y7" s="1781"/>
      <c r="Z7" s="1781"/>
      <c r="AA7" s="1781"/>
    </row>
    <row r="8" spans="3:28" x14ac:dyDescent="0.2">
      <c r="C8" s="1306" t="str">
        <f>IF(SUM(SUMIFS(F153:F177,E153:E177,"30%"),SUMIFS(F153:F177,E153:E177,"40%"))=0,"# @ 50% AMI (LIHTC)","# @ 50% AMI or less (LIHTC)")</f>
        <v># @ 50% AMI (LIHTC)</v>
      </c>
      <c r="D8" s="1307"/>
      <c r="F8" s="404">
        <f>IF($G$5=0,0,G8/$G$5)</f>
        <v>0</v>
      </c>
      <c r="G8" s="950">
        <f>SUM(SUMIFS(F153:F177,E153:E177,"30%"),SUMIFS(F153:F177,E153:E177,"40%"),SUMIFS(F153:F177,E153:E177,"50%"))</f>
        <v>0</v>
      </c>
      <c r="I8" s="409" t="s">
        <v>372</v>
      </c>
      <c r="J8" s="412"/>
      <c r="K8" s="413">
        <f>K6</f>
        <v>0.02</v>
      </c>
      <c r="L8" s="413">
        <f>L6</f>
        <v>2.5000000000000001E-2</v>
      </c>
      <c r="M8" s="414">
        <f>M6</f>
        <v>0.03</v>
      </c>
      <c r="N8" s="405"/>
      <c r="O8" s="398"/>
      <c r="X8" s="1781"/>
      <c r="Y8" s="1781"/>
      <c r="Z8" s="1781"/>
      <c r="AA8" s="1781"/>
    </row>
    <row r="9" spans="3:28" x14ac:dyDescent="0.2">
      <c r="C9" s="1306" t="str">
        <f>IF(SUMIFS(F153:F177,E153:E177,"80%")=0,"# @ 60% AMI (LIHTC)","# @ 60% AMI or more (LIHTC)")</f>
        <v># @ 60% AMI (LIHTC)</v>
      </c>
      <c r="D9" s="1307"/>
      <c r="F9" s="404">
        <f>IF($G$5=0,0,G9/$G$5)</f>
        <v>0</v>
      </c>
      <c r="G9" s="950">
        <f>SUM(SUMIFS(F153:F177,E153:E177,60%),SUMIFS(F153:F177,E153:E177,80%))</f>
        <v>0</v>
      </c>
      <c r="H9" s="1308"/>
      <c r="I9" s="397" t="s">
        <v>371</v>
      </c>
      <c r="K9" s="415">
        <f>H197</f>
        <v>1.1499999999999999</v>
      </c>
      <c r="L9" s="416"/>
      <c r="M9" s="417"/>
      <c r="N9" s="416"/>
      <c r="O9" s="398"/>
      <c r="T9" s="625" t="s">
        <v>1776</v>
      </c>
      <c r="U9" s="626"/>
      <c r="V9" s="627">
        <f>IF('Tax Credit Calc'!E8="No",0,IF('Tax Credit Calculations'!S19="",(H21-H15+H32+H34+H35+H41+H42+H43+H55+H62+H63+H64)*0.2,'Tax Credit Calculations'!S19))</f>
        <v>0</v>
      </c>
      <c r="X9" s="1781"/>
      <c r="Y9" s="1781"/>
      <c r="Z9" s="1781"/>
      <c r="AA9" s="1781"/>
    </row>
    <row r="10" spans="3:28" x14ac:dyDescent="0.2">
      <c r="C10" s="1306" t="s">
        <v>370</v>
      </c>
      <c r="D10" s="1307"/>
      <c r="F10" s="404">
        <f>IF($G$5=0,0,G10/$G$5)</f>
        <v>0</v>
      </c>
      <c r="G10" s="1309">
        <f>SUMIFS(F153:F177,E153:E177,"Mkt")</f>
        <v>0</v>
      </c>
      <c r="H10" s="1308"/>
      <c r="I10" s="397" t="s">
        <v>369</v>
      </c>
      <c r="K10" s="418">
        <f>K185</f>
        <v>0.05</v>
      </c>
      <c r="L10" s="418"/>
      <c r="M10" s="419"/>
      <c r="N10" s="418"/>
      <c r="O10" s="398"/>
      <c r="T10" s="402" t="s">
        <v>365</v>
      </c>
      <c r="U10" s="394"/>
      <c r="V10" s="420">
        <f>'Tax Credit Calculations'!D32</f>
        <v>0.87</v>
      </c>
      <c r="X10" s="57" t="s">
        <v>1882</v>
      </c>
      <c r="Y10" s="1471">
        <f ca="1">DATE(YEAR(G73),MONTH(G73)+Y92,DAY(G73))</f>
        <v>46476</v>
      </c>
    </row>
    <row r="11" spans="3:28" x14ac:dyDescent="0.2">
      <c r="C11" s="621" t="s">
        <v>325</v>
      </c>
      <c r="D11" s="611"/>
      <c r="E11" s="611"/>
      <c r="F11" s="611"/>
      <c r="G11" s="611"/>
      <c r="H11" s="630">
        <f>(J196+(O180-M180))/0.08</f>
        <v>0</v>
      </c>
      <c r="I11" s="611" t="s">
        <v>368</v>
      </c>
      <c r="J11" s="611"/>
      <c r="K11" s="631">
        <f>IF($G$5=0,0,$H$11/$G$5)</f>
        <v>0</v>
      </c>
      <c r="L11" s="631"/>
      <c r="M11" s="624"/>
      <c r="N11" s="421"/>
      <c r="O11" s="421"/>
      <c r="T11" s="402" t="s">
        <v>364</v>
      </c>
      <c r="U11" s="394"/>
      <c r="V11" s="408">
        <f>V6</f>
        <v>0.99990000000000001</v>
      </c>
      <c r="X11" s="57" t="s">
        <v>1887</v>
      </c>
      <c r="Y11" s="57">
        <v>12</v>
      </c>
    </row>
    <row r="12" spans="3:28" x14ac:dyDescent="0.2">
      <c r="K12" s="421"/>
      <c r="L12" s="421"/>
      <c r="M12" s="421"/>
      <c r="N12" s="421"/>
      <c r="O12" s="421"/>
      <c r="T12" s="409" t="s">
        <v>363</v>
      </c>
      <c r="U12" s="410"/>
      <c r="V12" s="411">
        <f>V9*V10*V11</f>
        <v>0</v>
      </c>
      <c r="X12" s="397" t="s">
        <v>1883</v>
      </c>
      <c r="Y12" s="57">
        <f ca="1">IF(MONTH(Y10)&lt;8,YEAR(Y10),YEAR(Y10)+1)</f>
        <v>2027</v>
      </c>
    </row>
    <row r="13" spans="3:28" x14ac:dyDescent="0.2">
      <c r="C13" s="632" t="s">
        <v>367</v>
      </c>
      <c r="D13" s="612"/>
      <c r="E13" s="612"/>
      <c r="F13" s="626"/>
      <c r="G13" s="626"/>
      <c r="H13" s="626"/>
      <c r="I13" s="626"/>
      <c r="J13" s="626"/>
      <c r="K13" s="626"/>
      <c r="L13" s="626"/>
      <c r="M13" s="626"/>
      <c r="N13" s="626"/>
      <c r="O13" s="626"/>
      <c r="P13" s="633"/>
      <c r="X13" s="397" t="s">
        <v>1884</v>
      </c>
      <c r="Y13" s="397">
        <v>4</v>
      </c>
      <c r="AB13" s="1461"/>
    </row>
    <row r="14" spans="3:28" ht="10.8" thickBot="1" x14ac:dyDescent="0.25">
      <c r="C14" s="422"/>
      <c r="D14" s="410"/>
      <c r="E14" s="410"/>
      <c r="F14" s="410"/>
      <c r="G14" s="410"/>
      <c r="H14" s="423" t="s">
        <v>563</v>
      </c>
      <c r="I14" s="424"/>
      <c r="J14" s="424" t="s">
        <v>304</v>
      </c>
      <c r="K14" s="410"/>
      <c r="L14" s="423" t="s">
        <v>366</v>
      </c>
      <c r="M14" s="410"/>
      <c r="N14" s="410"/>
      <c r="O14" s="410"/>
      <c r="P14" s="425" t="s">
        <v>542</v>
      </c>
      <c r="T14" s="625" t="s">
        <v>1777</v>
      </c>
      <c r="U14" s="626"/>
      <c r="V14" s="627">
        <f>V9/0.2*'Tax Credit Calculations'!D39</f>
        <v>0</v>
      </c>
      <c r="X14" s="57" t="s">
        <v>1885</v>
      </c>
      <c r="Y14" s="1460">
        <f ca="1">IF(Y12&gt;YEAR(Y10),DATE(Y12,Y11+Y13,DAY(Y10)),IF(MONTH(Y10)&lt;Y11,DATE(YEAR(Y10),Y11+Y13,DAY(Y10)),DATE(YEAR(Y10)+1,Y11+Y13,DAY(Y10))))</f>
        <v>46873</v>
      </c>
      <c r="AB14" s="1461"/>
    </row>
    <row r="15" spans="3:28" outlineLevel="1" x14ac:dyDescent="0.2">
      <c r="C15" s="1310" t="str">
        <f>'Tax Credit Calc'!A54</f>
        <v>Site Improvements</v>
      </c>
      <c r="D15" s="646"/>
      <c r="E15" s="394"/>
      <c r="F15" s="394"/>
      <c r="G15" s="394"/>
      <c r="H15" s="614">
        <f t="shared" ref="H15:H20" si="0">P15-L15</f>
        <v>0</v>
      </c>
      <c r="I15" s="394"/>
      <c r="J15" s="394">
        <f t="shared" ref="J15:J21" si="1">IF($G$5=0,0,H15/$G$5)</f>
        <v>0</v>
      </c>
      <c r="K15" s="394"/>
      <c r="L15" s="427"/>
      <c r="M15" s="394"/>
      <c r="N15" s="394"/>
      <c r="O15" s="394"/>
      <c r="P15" s="428">
        <f>'Construction Costs'!E19</f>
        <v>0</v>
      </c>
      <c r="T15" s="402" t="s">
        <v>606</v>
      </c>
      <c r="U15" s="394"/>
      <c r="V15" s="420">
        <f>'Tax Credit Calculations'!D44</f>
        <v>0.88</v>
      </c>
      <c r="X15" s="57"/>
      <c r="Y15" s="1785" t="s">
        <v>1886</v>
      </c>
      <c r="Z15" s="1786"/>
      <c r="AA15" s="1787"/>
    </row>
    <row r="16" spans="3:28" outlineLevel="1" x14ac:dyDescent="0.2">
      <c r="C16" s="1310" t="str">
        <f>'Tax Credit Calc'!A55</f>
        <v xml:space="preserve">Construction </v>
      </c>
      <c r="D16" s="646"/>
      <c r="E16" s="394"/>
      <c r="F16" s="394"/>
      <c r="G16" s="394"/>
      <c r="H16" s="394">
        <f t="shared" si="0"/>
        <v>0</v>
      </c>
      <c r="I16" s="394"/>
      <c r="J16" s="394">
        <f t="shared" si="1"/>
        <v>0</v>
      </c>
      <c r="K16" s="394"/>
      <c r="L16" s="989">
        <f>'Project Costs &amp; Basis'!J9*(100/105)</f>
        <v>0</v>
      </c>
      <c r="M16" s="95"/>
      <c r="N16" s="95"/>
      <c r="O16" s="95"/>
      <c r="P16" s="990">
        <f>'Construction Costs'!E27</f>
        <v>0</v>
      </c>
      <c r="T16" s="402" t="s">
        <v>364</v>
      </c>
      <c r="U16" s="394"/>
      <c r="V16" s="408">
        <v>1</v>
      </c>
      <c r="X16" s="57"/>
      <c r="Y16" s="1462"/>
      <c r="Z16" s="57"/>
      <c r="AA16" s="1463">
        <v>4.4999999999999998E-2</v>
      </c>
    </row>
    <row r="17" spans="3:31" outlineLevel="2" x14ac:dyDescent="0.2">
      <c r="C17" s="1310" t="str">
        <f>'Tax Credit Calc'!A56</f>
        <v>General Requirements</v>
      </c>
      <c r="D17" s="646"/>
      <c r="E17" s="394"/>
      <c r="F17" s="394"/>
      <c r="G17" s="394"/>
      <c r="H17" s="394">
        <f t="shared" si="0"/>
        <v>0</v>
      </c>
      <c r="I17" s="394"/>
      <c r="J17" s="394">
        <f t="shared" si="1"/>
        <v>0</v>
      </c>
      <c r="K17" s="394"/>
      <c r="L17" s="989"/>
      <c r="M17" s="95"/>
      <c r="N17" s="95"/>
      <c r="O17" s="95"/>
      <c r="P17" s="990">
        <f>'Construction Costs'!E45</f>
        <v>0</v>
      </c>
      <c r="T17" s="409" t="s">
        <v>363</v>
      </c>
      <c r="U17" s="410"/>
      <c r="V17" s="411">
        <f>V14*V15*V16</f>
        <v>0</v>
      </c>
      <c r="X17" s="79" t="s">
        <v>356</v>
      </c>
      <c r="Y17" s="1464">
        <f ca="1">P73</f>
        <v>46568</v>
      </c>
      <c r="Z17" s="95" t="str">
        <f>W7</f>
        <v/>
      </c>
      <c r="AA17" s="1465"/>
      <c r="AB17" s="1461" t="str">
        <f>IF(Z17="","",IF(AND(OR(Y17&lt;$Y$14,Y17=$Y$14),Y18&gt;$Y$14),$W$4-$W$7,""))</f>
        <v/>
      </c>
    </row>
    <row r="18" spans="3:31" outlineLevel="2" x14ac:dyDescent="0.2">
      <c r="C18" s="1310" t="str">
        <f>'Tax Credit Calc'!A57</f>
        <v>Builder Profit</v>
      </c>
      <c r="D18" s="646"/>
      <c r="E18" s="394"/>
      <c r="F18" s="394"/>
      <c r="G18" s="394"/>
      <c r="H18" s="394">
        <f t="shared" si="0"/>
        <v>0</v>
      </c>
      <c r="I18" s="394"/>
      <c r="J18" s="394">
        <f t="shared" si="1"/>
        <v>0</v>
      </c>
      <c r="K18" s="394"/>
      <c r="L18" s="989"/>
      <c r="M18" s="95"/>
      <c r="N18" s="95"/>
      <c r="O18" s="95"/>
      <c r="P18" s="990">
        <f>'Construction Costs'!E48</f>
        <v>0</v>
      </c>
      <c r="X18" s="57"/>
      <c r="Y18" s="1464">
        <f t="shared" ref="Y18:Y46" ca="1" si="2">EOMONTH(Y17,1)</f>
        <v>46599</v>
      </c>
      <c r="Z18" s="95" t="str">
        <f>Z17</f>
        <v/>
      </c>
      <c r="AA18" s="1466" t="str">
        <f>IF(Z17="","",SUM((Y18-Y17)*($AA$16/360)*Z17,AA17))</f>
        <v/>
      </c>
      <c r="AB18" s="1461" t="str">
        <f t="shared" ref="AB18:AB46" si="3">IF(Z18="","",IF(AND(OR(Y18&lt;$Y$14,Y18=$Y$14),Y19&gt;$Y$14),$W$4-$W$7,""))</f>
        <v/>
      </c>
    </row>
    <row r="19" spans="3:31" outlineLevel="2" x14ac:dyDescent="0.2">
      <c r="C19" s="1310" t="str">
        <f>'Tax Credit Calc'!A58</f>
        <v>Bond Premium</v>
      </c>
      <c r="D19" s="646"/>
      <c r="E19" s="394"/>
      <c r="F19" s="394"/>
      <c r="G19" s="394"/>
      <c r="H19" s="394">
        <f t="shared" si="0"/>
        <v>0</v>
      </c>
      <c r="I19" s="394"/>
      <c r="J19" s="394">
        <f t="shared" si="1"/>
        <v>0</v>
      </c>
      <c r="K19" s="394"/>
      <c r="L19" s="989"/>
      <c r="M19" s="95"/>
      <c r="N19" s="95"/>
      <c r="O19" s="95"/>
      <c r="P19" s="990">
        <f>'Construction Costs'!E50</f>
        <v>0</v>
      </c>
      <c r="T19" s="621" t="s">
        <v>1800</v>
      </c>
      <c r="U19" s="611"/>
      <c r="V19" s="622">
        <f>IF(V7=0,0,IF(OR(V6=0.9999,V6=0.9899),100,200))</f>
        <v>0</v>
      </c>
      <c r="X19" s="57"/>
      <c r="Y19" s="1464">
        <f t="shared" ca="1" si="2"/>
        <v>46630</v>
      </c>
      <c r="Z19" s="95" t="str">
        <f>Z18</f>
        <v/>
      </c>
      <c r="AA19" s="1466" t="str">
        <f t="shared" ref="AA19:AA46" si="4">IF(Z18="","",SUM((Y19-Y18)*($AA$16/360)*Z18,AA18))</f>
        <v/>
      </c>
      <c r="AB19" s="1461" t="str">
        <f t="shared" si="3"/>
        <v/>
      </c>
    </row>
    <row r="20" spans="3:31" outlineLevel="2" x14ac:dyDescent="0.2">
      <c r="C20" s="1310" t="str">
        <f>'Tax Credit Calc'!A59</f>
        <v>Construction Contingency</v>
      </c>
      <c r="D20" s="646"/>
      <c r="E20" s="394"/>
      <c r="F20" s="394"/>
      <c r="G20" s="956">
        <f>'Tax Credit Calc'!C59</f>
        <v>0</v>
      </c>
      <c r="H20" s="957">
        <f t="shared" si="0"/>
        <v>0</v>
      </c>
      <c r="I20" s="394"/>
      <c r="J20" s="429">
        <f t="shared" si="1"/>
        <v>0</v>
      </c>
      <c r="K20" s="394"/>
      <c r="L20" s="991">
        <f>'Project Costs &amp; Basis'!J9-L16</f>
        <v>0</v>
      </c>
      <c r="M20" s="95"/>
      <c r="N20" s="95"/>
      <c r="O20" s="95"/>
      <c r="P20" s="992">
        <f>'Construction Costs'!E52</f>
        <v>0</v>
      </c>
      <c r="X20" s="57"/>
      <c r="Y20" s="1464">
        <f t="shared" ca="1" si="2"/>
        <v>46660</v>
      </c>
      <c r="Z20" s="95" t="str">
        <f t="shared" ref="Z20:Z46" si="5">Z19</f>
        <v/>
      </c>
      <c r="AA20" s="1466" t="str">
        <f t="shared" si="4"/>
        <v/>
      </c>
      <c r="AB20" s="1461" t="str">
        <f t="shared" si="3"/>
        <v/>
      </c>
    </row>
    <row r="21" spans="3:31" outlineLevel="2" x14ac:dyDescent="0.2">
      <c r="C21" s="1312" t="str">
        <f>'Tax Credit Calc'!A60</f>
        <v>Subtotal Construction Costs</v>
      </c>
      <c r="D21" s="1311"/>
      <c r="E21" s="433"/>
      <c r="F21" s="433"/>
      <c r="G21" s="433"/>
      <c r="H21" s="433">
        <f>SUM(H15:H20)</f>
        <v>0</v>
      </c>
      <c r="I21" s="433"/>
      <c r="J21" s="433">
        <f t="shared" si="1"/>
        <v>0</v>
      </c>
      <c r="K21" s="433"/>
      <c r="L21" s="433">
        <f>SUM(L15:L20)</f>
        <v>0</v>
      </c>
      <c r="M21" s="433"/>
      <c r="N21" s="433"/>
      <c r="O21" s="433"/>
      <c r="P21" s="434">
        <f>H21+L21</f>
        <v>0</v>
      </c>
      <c r="R21" s="394"/>
      <c r="T21" s="621" t="s">
        <v>362</v>
      </c>
      <c r="U21" s="611"/>
      <c r="V21" s="622">
        <f>V7+V12+V17+V19</f>
        <v>0</v>
      </c>
      <c r="X21" s="57"/>
      <c r="Y21" s="1464">
        <f t="shared" ca="1" si="2"/>
        <v>46691</v>
      </c>
      <c r="Z21" s="95" t="str">
        <f t="shared" si="5"/>
        <v/>
      </c>
      <c r="AA21" s="1466" t="str">
        <f t="shared" si="4"/>
        <v/>
      </c>
      <c r="AB21" s="1461" t="str">
        <f t="shared" si="3"/>
        <v/>
      </c>
    </row>
    <row r="22" spans="3:31" s="436" customFormat="1" outlineLevel="1" x14ac:dyDescent="0.2">
      <c r="C22" s="1310"/>
      <c r="D22" s="646"/>
      <c r="E22" s="394"/>
      <c r="F22" s="394"/>
      <c r="G22" s="394"/>
      <c r="H22" s="394"/>
      <c r="I22" s="435"/>
      <c r="J22" s="394"/>
      <c r="K22" s="394"/>
      <c r="L22" s="394"/>
      <c r="M22" s="394"/>
      <c r="N22" s="394"/>
      <c r="O22" s="394"/>
      <c r="P22" s="428"/>
      <c r="Y22" s="1464">
        <f t="shared" ca="1" si="2"/>
        <v>46721</v>
      </c>
      <c r="Z22" s="95" t="str">
        <f t="shared" si="5"/>
        <v/>
      </c>
      <c r="AA22" s="1466" t="str">
        <f t="shared" si="4"/>
        <v/>
      </c>
      <c r="AB22" s="1461" t="str">
        <f t="shared" si="3"/>
        <v/>
      </c>
      <c r="AE22" s="1166"/>
    </row>
    <row r="23" spans="3:31" outlineLevel="1" x14ac:dyDescent="0.2">
      <c r="C23" s="1310" t="str">
        <f>'Tax Credit Calc'!A62</f>
        <v>Building Permits and Fees</v>
      </c>
      <c r="D23" s="646"/>
      <c r="E23" s="394"/>
      <c r="F23" s="394"/>
      <c r="G23" s="394"/>
      <c r="H23" s="394">
        <f>P23-L23</f>
        <v>0</v>
      </c>
      <c r="I23" s="394"/>
      <c r="J23" s="394">
        <f t="shared" ref="J23:J32" si="6">IF($G$5=0,0,H23/$G$5)</f>
        <v>0</v>
      </c>
      <c r="K23" s="394"/>
      <c r="L23" s="427">
        <f>'Project Costs &amp; Basis'!J13</f>
        <v>0</v>
      </c>
      <c r="M23" s="394"/>
      <c r="N23" s="394"/>
      <c r="O23" s="394"/>
      <c r="P23" s="428">
        <f>'Project Costs &amp; Basis'!E13</f>
        <v>0</v>
      </c>
      <c r="T23" s="625" t="s">
        <v>361</v>
      </c>
      <c r="U23" s="529"/>
      <c r="V23" s="634">
        <f>'Building Summary'!F36</f>
        <v>0</v>
      </c>
      <c r="X23" s="394"/>
      <c r="Y23" s="1464">
        <f ca="1">EOMONTH(Y22,1)</f>
        <v>46752</v>
      </c>
      <c r="Z23" s="95" t="str">
        <f t="shared" si="5"/>
        <v/>
      </c>
      <c r="AA23" s="1466" t="str">
        <f t="shared" si="4"/>
        <v/>
      </c>
      <c r="AB23" s="1461" t="str">
        <f t="shared" si="3"/>
        <v/>
      </c>
    </row>
    <row r="24" spans="3:31" outlineLevel="2" x14ac:dyDescent="0.2">
      <c r="C24" s="1310" t="str">
        <f>'Tax Credit Calc'!A63</f>
        <v>Survey &amp; Engineering</v>
      </c>
      <c r="D24" s="646"/>
      <c r="E24" s="394"/>
      <c r="F24" s="394"/>
      <c r="G24" s="394"/>
      <c r="H24" s="394">
        <f t="shared" ref="H24:H31" si="7">P24-L24</f>
        <v>0</v>
      </c>
      <c r="I24" s="394"/>
      <c r="J24" s="394">
        <f t="shared" si="6"/>
        <v>0</v>
      </c>
      <c r="K24" s="394"/>
      <c r="L24" s="427">
        <f>'Project Costs &amp; Basis'!J15</f>
        <v>0</v>
      </c>
      <c r="M24" s="394"/>
      <c r="N24" s="394"/>
      <c r="O24" s="394"/>
      <c r="P24" s="428">
        <f>'Project Costs &amp; Basis'!E15</f>
        <v>0</v>
      </c>
      <c r="T24" s="409" t="s">
        <v>360</v>
      </c>
      <c r="U24" s="412"/>
      <c r="V24" s="437">
        <f>IF(V23=0,0,(H21-H20)/V23)</f>
        <v>0</v>
      </c>
      <c r="X24" s="1467"/>
      <c r="Y24" s="1464">
        <f t="shared" ca="1" si="2"/>
        <v>46783</v>
      </c>
      <c r="Z24" s="95" t="str">
        <f t="shared" si="5"/>
        <v/>
      </c>
      <c r="AA24" s="1466" t="str">
        <f t="shared" si="4"/>
        <v/>
      </c>
      <c r="AB24" s="1461" t="str">
        <f t="shared" si="3"/>
        <v/>
      </c>
    </row>
    <row r="25" spans="3:31" outlineLevel="2" x14ac:dyDescent="0.2">
      <c r="C25" s="1310" t="str">
        <f>'Tax Credit Calc'!A64</f>
        <v>Architectural &amp; Design</v>
      </c>
      <c r="D25" s="646"/>
      <c r="E25" s="394"/>
      <c r="F25" s="394"/>
      <c r="G25" s="394"/>
      <c r="H25" s="394">
        <f t="shared" si="7"/>
        <v>0</v>
      </c>
      <c r="I25" s="394"/>
      <c r="J25" s="394">
        <f t="shared" si="6"/>
        <v>0</v>
      </c>
      <c r="K25" s="394"/>
      <c r="L25" s="427">
        <f>'Project Costs &amp; Basis'!J17</f>
        <v>0</v>
      </c>
      <c r="M25" s="394"/>
      <c r="N25" s="394"/>
      <c r="O25" s="394"/>
      <c r="P25" s="428">
        <f>'Project Costs &amp; Basis'!E17</f>
        <v>0</v>
      </c>
      <c r="T25" s="409" t="s">
        <v>1013</v>
      </c>
      <c r="U25" s="412"/>
      <c r="V25" s="437">
        <f>IF(V23=0,0,P68/V23)</f>
        <v>0</v>
      </c>
      <c r="X25" s="1467"/>
      <c r="Y25" s="1464">
        <f t="shared" ca="1" si="2"/>
        <v>46812</v>
      </c>
      <c r="Z25" s="95" t="str">
        <f t="shared" si="5"/>
        <v/>
      </c>
      <c r="AA25" s="1466" t="str">
        <f t="shared" si="4"/>
        <v/>
      </c>
      <c r="AB25" s="1461" t="str">
        <f t="shared" si="3"/>
        <v/>
      </c>
    </row>
    <row r="26" spans="3:31" outlineLevel="2" x14ac:dyDescent="0.2">
      <c r="C26" s="1310" t="str">
        <f>'Tax Credit Calc'!A65</f>
        <v>Legal</v>
      </c>
      <c r="D26" s="646"/>
      <c r="E26" s="394"/>
      <c r="F26" s="394"/>
      <c r="G26" s="394"/>
      <c r="H26" s="394">
        <f t="shared" si="7"/>
        <v>0</v>
      </c>
      <c r="I26" s="394"/>
      <c r="J26" s="394">
        <f t="shared" si="6"/>
        <v>0</v>
      </c>
      <c r="K26" s="394"/>
      <c r="L26" s="427">
        <f>'Project Costs &amp; Basis'!J19</f>
        <v>0</v>
      </c>
      <c r="M26" s="394"/>
      <c r="N26" s="394"/>
      <c r="O26" s="394"/>
      <c r="P26" s="428">
        <f>'Project Costs &amp; Basis'!E19</f>
        <v>0</v>
      </c>
      <c r="X26" s="57"/>
      <c r="Y26" s="1464">
        <f t="shared" ca="1" si="2"/>
        <v>46843</v>
      </c>
      <c r="Z26" s="95" t="str">
        <f t="shared" si="5"/>
        <v/>
      </c>
      <c r="AA26" s="1466" t="str">
        <f t="shared" si="4"/>
        <v/>
      </c>
      <c r="AB26" s="1461" t="str">
        <f t="shared" si="3"/>
        <v/>
      </c>
    </row>
    <row r="27" spans="3:31" outlineLevel="2" x14ac:dyDescent="0.2">
      <c r="C27" s="1310" t="str">
        <f>'Tax Credit Calc'!A66</f>
        <v>Title &amp; Recording</v>
      </c>
      <c r="D27" s="646"/>
      <c r="E27" s="394"/>
      <c r="F27" s="394"/>
      <c r="G27" s="394"/>
      <c r="H27" s="394">
        <f t="shared" si="7"/>
        <v>0</v>
      </c>
      <c r="I27" s="394"/>
      <c r="J27" s="394">
        <f t="shared" si="6"/>
        <v>0</v>
      </c>
      <c r="K27" s="394"/>
      <c r="L27" s="427">
        <f>'Project Costs &amp; Basis'!J21</f>
        <v>0</v>
      </c>
      <c r="M27" s="394"/>
      <c r="N27" s="394"/>
      <c r="O27" s="394"/>
      <c r="P27" s="428">
        <f>'Project Costs &amp; Basis'!E21</f>
        <v>0</v>
      </c>
      <c r="R27" s="625" t="s">
        <v>227</v>
      </c>
      <c r="S27" s="529"/>
      <c r="T27" s="529"/>
      <c r="U27" s="529"/>
      <c r="V27" s="529"/>
      <c r="W27" s="635"/>
      <c r="X27" s="60"/>
      <c r="Y27" s="1464">
        <f t="shared" ca="1" si="2"/>
        <v>46873</v>
      </c>
      <c r="Z27" s="95" t="str">
        <f t="shared" si="5"/>
        <v/>
      </c>
      <c r="AA27" s="1466" t="str">
        <f t="shared" si="4"/>
        <v/>
      </c>
      <c r="AB27" s="1461" t="str">
        <f t="shared" si="3"/>
        <v/>
      </c>
    </row>
    <row r="28" spans="3:31" outlineLevel="2" x14ac:dyDescent="0.2">
      <c r="C28" s="1310" t="str">
        <f>'Tax Credit Calc'!A67</f>
        <v>Accounting</v>
      </c>
      <c r="D28" s="646"/>
      <c r="E28" s="394"/>
      <c r="F28" s="394"/>
      <c r="G28" s="394"/>
      <c r="H28" s="394">
        <f t="shared" si="7"/>
        <v>0</v>
      </c>
      <c r="I28" s="394"/>
      <c r="J28" s="394">
        <f t="shared" si="6"/>
        <v>0</v>
      </c>
      <c r="K28" s="394"/>
      <c r="L28" s="427">
        <f>'Project Costs &amp; Basis'!J23</f>
        <v>0</v>
      </c>
      <c r="M28" s="394"/>
      <c r="N28" s="394"/>
      <c r="O28" s="394"/>
      <c r="P28" s="428">
        <f>'Project Costs &amp; Basis'!E23</f>
        <v>0</v>
      </c>
      <c r="R28" s="402"/>
      <c r="W28" s="438"/>
      <c r="X28" s="57"/>
      <c r="Y28" s="1464">
        <f t="shared" ca="1" si="2"/>
        <v>46904</v>
      </c>
      <c r="Z28" s="95" t="str">
        <f t="shared" si="5"/>
        <v/>
      </c>
      <c r="AA28" s="1466" t="str">
        <f t="shared" si="4"/>
        <v/>
      </c>
      <c r="AB28" s="1461" t="str">
        <f t="shared" si="3"/>
        <v/>
      </c>
    </row>
    <row r="29" spans="3:31" outlineLevel="2" x14ac:dyDescent="0.2">
      <c r="C29" s="1310" t="str">
        <f>'Tax Credit Calc'!A68</f>
        <v>Construction Period Tax</v>
      </c>
      <c r="D29" s="646"/>
      <c r="E29" s="394"/>
      <c r="F29" s="394"/>
      <c r="G29" s="394"/>
      <c r="H29" s="394">
        <f t="shared" si="7"/>
        <v>0</v>
      </c>
      <c r="I29" s="394"/>
      <c r="J29" s="394">
        <f t="shared" si="6"/>
        <v>0</v>
      </c>
      <c r="K29" s="394"/>
      <c r="L29" s="427">
        <f>'Project Costs &amp; Basis'!J25</f>
        <v>0</v>
      </c>
      <c r="M29" s="394"/>
      <c r="N29" s="394"/>
      <c r="O29" s="394"/>
      <c r="P29" s="428">
        <f>'Project Costs &amp; Basis'!E25</f>
        <v>0</v>
      </c>
      <c r="R29" s="402"/>
      <c r="W29" s="438"/>
      <c r="X29" s="57"/>
      <c r="Y29" s="1464">
        <f t="shared" ca="1" si="2"/>
        <v>46934</v>
      </c>
      <c r="Z29" s="95" t="str">
        <f t="shared" si="5"/>
        <v/>
      </c>
      <c r="AA29" s="1466" t="str">
        <f t="shared" si="4"/>
        <v/>
      </c>
      <c r="AB29" s="1461" t="str">
        <f t="shared" si="3"/>
        <v/>
      </c>
    </row>
    <row r="30" spans="3:31" outlineLevel="1" x14ac:dyDescent="0.2">
      <c r="C30" s="1310" t="str">
        <f>'Tax Credit Calc'!A69</f>
        <v>Construction Period Insurance</v>
      </c>
      <c r="D30" s="646"/>
      <c r="E30" s="394"/>
      <c r="F30" s="394"/>
      <c r="G30" s="394"/>
      <c r="H30" s="394">
        <f t="shared" si="7"/>
        <v>0</v>
      </c>
      <c r="I30" s="394"/>
      <c r="J30" s="394">
        <f t="shared" si="6"/>
        <v>0</v>
      </c>
      <c r="K30" s="394"/>
      <c r="L30" s="427">
        <f>'Project Costs &amp; Basis'!J27</f>
        <v>0</v>
      </c>
      <c r="M30" s="394"/>
      <c r="N30" s="394"/>
      <c r="O30" s="394"/>
      <c r="P30" s="428">
        <f>'Project Costs &amp; Basis'!E27</f>
        <v>0</v>
      </c>
      <c r="R30" s="402"/>
      <c r="W30" s="438"/>
      <c r="X30" s="57"/>
      <c r="Y30" s="1464">
        <f t="shared" ca="1" si="2"/>
        <v>46965</v>
      </c>
      <c r="Z30" s="95" t="str">
        <f t="shared" si="5"/>
        <v/>
      </c>
      <c r="AA30" s="1466" t="str">
        <f t="shared" si="4"/>
        <v/>
      </c>
      <c r="AB30" s="1461" t="str">
        <f t="shared" si="3"/>
        <v/>
      </c>
    </row>
    <row r="31" spans="3:31" outlineLevel="1" x14ac:dyDescent="0.2">
      <c r="C31" s="1310" t="str">
        <f>'Tax Credit Calc'!A70</f>
        <v>Other</v>
      </c>
      <c r="D31" s="646"/>
      <c r="E31" s="394"/>
      <c r="F31" s="394"/>
      <c r="G31" s="394"/>
      <c r="H31" s="429">
        <f t="shared" si="7"/>
        <v>0</v>
      </c>
      <c r="I31" s="394"/>
      <c r="J31" s="429">
        <f t="shared" si="6"/>
        <v>0</v>
      </c>
      <c r="K31" s="394"/>
      <c r="L31" s="430">
        <f>'Project Costs &amp; Basis'!J29</f>
        <v>0</v>
      </c>
      <c r="M31" s="394"/>
      <c r="N31" s="394"/>
      <c r="O31" s="394"/>
      <c r="P31" s="431">
        <f>'Project Costs &amp; Basis'!E29</f>
        <v>0</v>
      </c>
      <c r="R31" s="402"/>
      <c r="W31" s="438"/>
      <c r="X31" s="57"/>
      <c r="Y31" s="1464">
        <f t="shared" ca="1" si="2"/>
        <v>46996</v>
      </c>
      <c r="Z31" s="95" t="str">
        <f t="shared" si="5"/>
        <v/>
      </c>
      <c r="AA31" s="1466" t="str">
        <f t="shared" si="4"/>
        <v/>
      </c>
      <c r="AB31" s="1461" t="str">
        <f t="shared" si="3"/>
        <v/>
      </c>
    </row>
    <row r="32" spans="3:31" outlineLevel="1" x14ac:dyDescent="0.2">
      <c r="C32" s="1312" t="str">
        <f>'Tax Credit Calc'!A71</f>
        <v>Subtotal Soft Costs</v>
      </c>
      <c r="D32" s="1311"/>
      <c r="E32" s="433"/>
      <c r="F32" s="433"/>
      <c r="G32" s="433"/>
      <c r="H32" s="433">
        <f>SUM(H23:H31)</f>
        <v>0</v>
      </c>
      <c r="I32" s="433"/>
      <c r="J32" s="433">
        <f t="shared" si="6"/>
        <v>0</v>
      </c>
      <c r="K32" s="433"/>
      <c r="L32" s="433">
        <f>SUM(L23:L31)</f>
        <v>0</v>
      </c>
      <c r="M32" s="433"/>
      <c r="N32" s="433"/>
      <c r="O32" s="433"/>
      <c r="P32" s="434">
        <f>H32+L32</f>
        <v>0</v>
      </c>
      <c r="R32" s="402"/>
      <c r="W32" s="438"/>
      <c r="X32" s="57"/>
      <c r="Y32" s="1464">
        <f t="shared" ca="1" si="2"/>
        <v>47026</v>
      </c>
      <c r="Z32" s="95" t="str">
        <f t="shared" si="5"/>
        <v/>
      </c>
      <c r="AA32" s="1466" t="str">
        <f t="shared" si="4"/>
        <v/>
      </c>
      <c r="AB32" s="1461" t="str">
        <f t="shared" si="3"/>
        <v/>
      </c>
    </row>
    <row r="33" spans="3:31" s="436" customFormat="1" outlineLevel="1" x14ac:dyDescent="0.2">
      <c r="C33" s="1310"/>
      <c r="D33" s="646"/>
      <c r="E33" s="394"/>
      <c r="F33" s="394"/>
      <c r="G33" s="394"/>
      <c r="H33" s="394"/>
      <c r="I33" s="394"/>
      <c r="J33" s="394"/>
      <c r="K33" s="394"/>
      <c r="L33" s="394"/>
      <c r="M33" s="394"/>
      <c r="N33" s="394"/>
      <c r="O33" s="394"/>
      <c r="P33" s="428"/>
      <c r="R33" s="439"/>
      <c r="W33" s="440"/>
      <c r="X33" s="57"/>
      <c r="Y33" s="1464">
        <f t="shared" ca="1" si="2"/>
        <v>47057</v>
      </c>
      <c r="Z33" s="95" t="str">
        <f t="shared" si="5"/>
        <v/>
      </c>
      <c r="AA33" s="1466" t="str">
        <f t="shared" si="4"/>
        <v/>
      </c>
      <c r="AB33" s="1461" t="str">
        <f t="shared" si="3"/>
        <v/>
      </c>
      <c r="AE33" s="1166"/>
    </row>
    <row r="34" spans="3:31" outlineLevel="2" x14ac:dyDescent="0.2">
      <c r="C34" s="1310" t="str">
        <f>'Tax Credit Calc'!A73</f>
        <v>Construction Loan Origination Fees</v>
      </c>
      <c r="D34" s="646"/>
      <c r="E34" s="394"/>
      <c r="F34" s="394"/>
      <c r="G34" s="394"/>
      <c r="H34" s="394">
        <f>P34-L34</f>
        <v>0</v>
      </c>
      <c r="I34" s="394"/>
      <c r="J34" s="394">
        <f t="shared" ref="J34:J39" si="8">IF($G$5=0,0,H34/$G$5)</f>
        <v>0</v>
      </c>
      <c r="K34" s="394"/>
      <c r="L34" s="427">
        <f>'Project Costs &amp; Basis'!J38</f>
        <v>0</v>
      </c>
      <c r="M34" s="394"/>
      <c r="N34" s="394"/>
      <c r="O34" s="394"/>
      <c r="P34" s="428">
        <f>'Project Costs &amp; Basis'!E38</f>
        <v>0</v>
      </c>
      <c r="R34" s="402"/>
      <c r="W34" s="438"/>
      <c r="X34" s="57"/>
      <c r="Y34" s="1464">
        <f t="shared" ca="1" si="2"/>
        <v>47087</v>
      </c>
      <c r="Z34" s="95" t="str">
        <f t="shared" si="5"/>
        <v/>
      </c>
      <c r="AA34" s="1466" t="str">
        <f t="shared" si="4"/>
        <v/>
      </c>
      <c r="AB34" s="1461" t="str">
        <f t="shared" si="3"/>
        <v/>
      </c>
    </row>
    <row r="35" spans="3:31" outlineLevel="2" x14ac:dyDescent="0.2">
      <c r="C35" s="1310" t="str">
        <f>'Tax Credit Calc'!A74</f>
        <v>Construction Loan Interest</v>
      </c>
      <c r="D35" s="646"/>
      <c r="E35" s="394"/>
      <c r="F35" s="394"/>
      <c r="G35" s="394"/>
      <c r="H35" s="95">
        <f>P35-L35</f>
        <v>0</v>
      </c>
      <c r="I35" s="394"/>
      <c r="J35" s="394">
        <f t="shared" si="8"/>
        <v>0</v>
      </c>
      <c r="K35" s="394"/>
      <c r="L35" s="427">
        <f>'Project Costs &amp; Basis'!J40</f>
        <v>0</v>
      </c>
      <c r="M35" s="394"/>
      <c r="N35" s="394"/>
      <c r="O35" s="394"/>
      <c r="P35" s="428">
        <f>'Project Costs &amp; Basis'!E40</f>
        <v>0</v>
      </c>
      <c r="R35" s="402"/>
      <c r="W35" s="438"/>
      <c r="X35" s="57"/>
      <c r="Y35" s="1464">
        <f t="shared" ca="1" si="2"/>
        <v>47118</v>
      </c>
      <c r="Z35" s="95" t="str">
        <f t="shared" si="5"/>
        <v/>
      </c>
      <c r="AA35" s="1466" t="str">
        <f t="shared" si="4"/>
        <v/>
      </c>
      <c r="AB35" s="1461" t="str">
        <f t="shared" si="3"/>
        <v/>
      </c>
    </row>
    <row r="36" spans="3:31" outlineLevel="2" x14ac:dyDescent="0.2">
      <c r="C36" s="1310" t="str">
        <f>'Tax Credit Calc'!A75</f>
        <v>MaineHousing Permanent Loan Fees</v>
      </c>
      <c r="D36" s="646"/>
      <c r="E36" s="394"/>
      <c r="F36" s="394"/>
      <c r="G36" s="394"/>
      <c r="H36" s="394">
        <f>P36-L36</f>
        <v>0</v>
      </c>
      <c r="I36" s="394"/>
      <c r="J36" s="394">
        <f t="shared" si="8"/>
        <v>0</v>
      </c>
      <c r="K36" s="394"/>
      <c r="L36" s="427">
        <f>'Project Costs &amp; Basis'!J42</f>
        <v>0</v>
      </c>
      <c r="M36" s="394"/>
      <c r="N36" s="394"/>
      <c r="O36" s="394"/>
      <c r="P36" s="428">
        <f>'Project Costs &amp; Basis'!E42</f>
        <v>0</v>
      </c>
      <c r="R36" s="402"/>
      <c r="W36" s="438"/>
      <c r="X36" s="57"/>
      <c r="Y36" s="1464">
        <f t="shared" ca="1" si="2"/>
        <v>47149</v>
      </c>
      <c r="Z36" s="95" t="str">
        <f t="shared" si="5"/>
        <v/>
      </c>
      <c r="AA36" s="1466" t="str">
        <f t="shared" si="4"/>
        <v/>
      </c>
      <c r="AB36" s="1461" t="str">
        <f t="shared" si="3"/>
        <v/>
      </c>
    </row>
    <row r="37" spans="3:31" outlineLevel="2" x14ac:dyDescent="0.2">
      <c r="C37" s="1310" t="str">
        <f>'Tax Credit Calc'!A76</f>
        <v>Other Permanent Loan Fees</v>
      </c>
      <c r="D37" s="646"/>
      <c r="E37" s="394"/>
      <c r="H37" s="394">
        <f>P37-L37</f>
        <v>0</v>
      </c>
      <c r="J37" s="394">
        <f t="shared" si="8"/>
        <v>0</v>
      </c>
      <c r="L37" s="427">
        <f>'Project Costs &amp; Basis'!J44</f>
        <v>0</v>
      </c>
      <c r="P37" s="428">
        <f>'Project Costs &amp; Basis'!E44</f>
        <v>0</v>
      </c>
      <c r="R37" s="402"/>
      <c r="W37" s="438"/>
      <c r="X37" s="57"/>
      <c r="Y37" s="1464">
        <f t="shared" ca="1" si="2"/>
        <v>47177</v>
      </c>
      <c r="Z37" s="95" t="str">
        <f t="shared" si="5"/>
        <v/>
      </c>
      <c r="AA37" s="1466" t="str">
        <f t="shared" si="4"/>
        <v/>
      </c>
      <c r="AB37" s="1461" t="str">
        <f t="shared" si="3"/>
        <v/>
      </c>
    </row>
    <row r="38" spans="3:31" outlineLevel="1" x14ac:dyDescent="0.2">
      <c r="C38" s="1310" t="str">
        <f>'Tax Credit Calc'!A77</f>
        <v>Other</v>
      </c>
      <c r="D38" s="646"/>
      <c r="E38" s="394"/>
      <c r="F38" s="394"/>
      <c r="G38" s="394"/>
      <c r="H38" s="429">
        <f>P38-L38</f>
        <v>0</v>
      </c>
      <c r="I38" s="394"/>
      <c r="J38" s="429">
        <f t="shared" si="8"/>
        <v>0</v>
      </c>
      <c r="K38" s="394"/>
      <c r="L38" s="430">
        <f>'Project Costs &amp; Basis'!J46</f>
        <v>0</v>
      </c>
      <c r="M38" s="394"/>
      <c r="N38" s="394"/>
      <c r="O38" s="394"/>
      <c r="P38" s="431">
        <f>'Project Costs &amp; Basis'!E46</f>
        <v>0</v>
      </c>
      <c r="R38" s="402"/>
      <c r="W38" s="438"/>
      <c r="X38" s="60"/>
      <c r="Y38" s="1464">
        <f t="shared" ca="1" si="2"/>
        <v>47208</v>
      </c>
      <c r="Z38" s="95" t="str">
        <f t="shared" si="5"/>
        <v/>
      </c>
      <c r="AA38" s="1466" t="str">
        <f t="shared" si="4"/>
        <v/>
      </c>
      <c r="AB38" s="1461" t="str">
        <f t="shared" si="3"/>
        <v/>
      </c>
    </row>
    <row r="39" spans="3:31" s="436" customFormat="1" outlineLevel="1" x14ac:dyDescent="0.2">
      <c r="C39" s="1312" t="str">
        <f>'Tax Credit Calc'!A78</f>
        <v>Subtotal Finance Costs</v>
      </c>
      <c r="D39" s="1311"/>
      <c r="E39" s="433"/>
      <c r="F39" s="433"/>
      <c r="G39" s="433"/>
      <c r="H39" s="433">
        <f>SUM(H34:H38)</f>
        <v>0</v>
      </c>
      <c r="I39" s="433"/>
      <c r="J39" s="433">
        <f t="shared" si="8"/>
        <v>0</v>
      </c>
      <c r="K39" s="433"/>
      <c r="L39" s="433">
        <f>SUM(L34:L38)</f>
        <v>0</v>
      </c>
      <c r="M39" s="433"/>
      <c r="N39" s="433"/>
      <c r="O39" s="433"/>
      <c r="P39" s="434">
        <f>H39+L39</f>
        <v>0</v>
      </c>
      <c r="R39" s="439"/>
      <c r="W39" s="440"/>
      <c r="X39" s="57"/>
      <c r="Y39" s="1464">
        <f t="shared" ca="1" si="2"/>
        <v>47238</v>
      </c>
      <c r="Z39" s="95" t="str">
        <f t="shared" si="5"/>
        <v/>
      </c>
      <c r="AA39" s="1466" t="str">
        <f t="shared" si="4"/>
        <v/>
      </c>
      <c r="AB39" s="1461" t="str">
        <f t="shared" si="3"/>
        <v/>
      </c>
      <c r="AE39" s="1166"/>
    </row>
    <row r="40" spans="3:31" outlineLevel="1" x14ac:dyDescent="0.2">
      <c r="C40" s="1310"/>
      <c r="D40" s="646"/>
      <c r="E40" s="394"/>
      <c r="F40" s="394"/>
      <c r="G40" s="394"/>
      <c r="H40" s="394"/>
      <c r="I40" s="394"/>
      <c r="J40" s="394"/>
      <c r="K40" s="394"/>
      <c r="L40" s="394"/>
      <c r="M40" s="394"/>
      <c r="N40" s="394"/>
      <c r="O40" s="394"/>
      <c r="P40" s="428"/>
      <c r="R40" s="402"/>
      <c r="W40" s="438"/>
      <c r="Y40" s="1464">
        <f t="shared" ca="1" si="2"/>
        <v>47269</v>
      </c>
      <c r="Z40" s="95" t="str">
        <f t="shared" si="5"/>
        <v/>
      </c>
      <c r="AA40" s="1466" t="str">
        <f t="shared" si="4"/>
        <v/>
      </c>
      <c r="AB40" s="1461" t="str">
        <f t="shared" si="3"/>
        <v/>
      </c>
    </row>
    <row r="41" spans="3:31" outlineLevel="2" x14ac:dyDescent="0.2">
      <c r="C41" s="1310" t="str">
        <f>'Tax Credit Calc'!A80</f>
        <v>Market Survey</v>
      </c>
      <c r="D41" s="646"/>
      <c r="E41" s="394"/>
      <c r="F41" s="394"/>
      <c r="G41" s="394"/>
      <c r="H41" s="394">
        <f t="shared" ref="H41:H47" si="9">P41-L41</f>
        <v>0</v>
      </c>
      <c r="I41" s="394"/>
      <c r="J41" s="394">
        <f t="shared" ref="J41:J48" si="10">IF($G$5=0,0,H41/$G$5)</f>
        <v>0</v>
      </c>
      <c r="K41" s="394"/>
      <c r="L41" s="427">
        <f>'Project Costs &amp; Basis'!J53</f>
        <v>0</v>
      </c>
      <c r="M41" s="394"/>
      <c r="N41" s="394"/>
      <c r="O41" s="394"/>
      <c r="P41" s="428">
        <f>'Project Costs &amp; Basis'!E53</f>
        <v>0</v>
      </c>
      <c r="R41" s="402"/>
      <c r="W41" s="438"/>
      <c r="X41" s="436"/>
      <c r="Y41" s="1464">
        <f t="shared" ca="1" si="2"/>
        <v>47299</v>
      </c>
      <c r="Z41" s="95" t="str">
        <f t="shared" si="5"/>
        <v/>
      </c>
      <c r="AA41" s="1466" t="str">
        <f t="shared" si="4"/>
        <v/>
      </c>
      <c r="AB41" s="1461" t="str">
        <f t="shared" si="3"/>
        <v/>
      </c>
    </row>
    <row r="42" spans="3:31" outlineLevel="2" x14ac:dyDescent="0.2">
      <c r="C42" s="1310" t="str">
        <f>'Tax Credit Calc'!A81</f>
        <v>Appraisal</v>
      </c>
      <c r="D42" s="646"/>
      <c r="E42" s="394"/>
      <c r="F42" s="394"/>
      <c r="G42" s="394"/>
      <c r="H42" s="394">
        <f t="shared" si="9"/>
        <v>0</v>
      </c>
      <c r="I42" s="394"/>
      <c r="J42" s="394">
        <f t="shared" si="10"/>
        <v>0</v>
      </c>
      <c r="K42" s="394"/>
      <c r="L42" s="427">
        <f>'Project Costs &amp; Basis'!J55</f>
        <v>0</v>
      </c>
      <c r="M42" s="394"/>
      <c r="N42" s="394"/>
      <c r="O42" s="394"/>
      <c r="P42" s="428">
        <f>'Project Costs &amp; Basis'!E55</f>
        <v>0</v>
      </c>
      <c r="R42" s="402"/>
      <c r="W42" s="438"/>
      <c r="Y42" s="1464">
        <f t="shared" ca="1" si="2"/>
        <v>47330</v>
      </c>
      <c r="Z42" s="95" t="str">
        <f t="shared" si="5"/>
        <v/>
      </c>
      <c r="AA42" s="1466" t="str">
        <f t="shared" si="4"/>
        <v/>
      </c>
      <c r="AB42" s="1461" t="str">
        <f t="shared" si="3"/>
        <v/>
      </c>
    </row>
    <row r="43" spans="3:31" outlineLevel="2" x14ac:dyDescent="0.2">
      <c r="C43" s="1310" t="str">
        <f>'Tax Credit Calc'!A82</f>
        <v>Environmental Study</v>
      </c>
      <c r="D43" s="646"/>
      <c r="E43" s="394"/>
      <c r="F43" s="394"/>
      <c r="G43" s="394"/>
      <c r="H43" s="394">
        <f t="shared" si="9"/>
        <v>0</v>
      </c>
      <c r="I43" s="394"/>
      <c r="J43" s="394">
        <f t="shared" si="10"/>
        <v>0</v>
      </c>
      <c r="K43" s="394"/>
      <c r="L43" s="427">
        <f>'Project Costs &amp; Basis'!J57</f>
        <v>0</v>
      </c>
      <c r="M43" s="394"/>
      <c r="N43" s="394"/>
      <c r="O43" s="394"/>
      <c r="P43" s="428">
        <f>'Project Costs &amp; Basis'!E57</f>
        <v>0</v>
      </c>
      <c r="R43" s="402"/>
      <c r="W43" s="438"/>
      <c r="Y43" s="1464">
        <f t="shared" ca="1" si="2"/>
        <v>47361</v>
      </c>
      <c r="Z43" s="95" t="str">
        <f t="shared" si="5"/>
        <v/>
      </c>
      <c r="AA43" s="1466" t="str">
        <f t="shared" si="4"/>
        <v/>
      </c>
      <c r="AB43" s="1461" t="str">
        <f t="shared" si="3"/>
        <v/>
      </c>
    </row>
    <row r="44" spans="3:31" outlineLevel="2" x14ac:dyDescent="0.2">
      <c r="C44" s="1310" t="str">
        <f>'Tax Credit Calc'!A83</f>
        <v>LIHTC Fees &amp; Prepaid Monitoring</v>
      </c>
      <c r="D44" s="646"/>
      <c r="E44" s="394"/>
      <c r="F44" s="394"/>
      <c r="G44" s="394"/>
      <c r="H44" s="394">
        <f t="shared" si="9"/>
        <v>0</v>
      </c>
      <c r="I44" s="394"/>
      <c r="J44" s="394">
        <f t="shared" si="10"/>
        <v>0</v>
      </c>
      <c r="K44" s="394"/>
      <c r="L44" s="427">
        <f>'Project Costs &amp; Basis'!J59</f>
        <v>0</v>
      </c>
      <c r="M44" s="394"/>
      <c r="N44" s="394"/>
      <c r="O44" s="394"/>
      <c r="P44" s="428">
        <f>'Project Costs &amp; Basis'!E59</f>
        <v>0</v>
      </c>
      <c r="R44" s="402"/>
      <c r="W44" s="438"/>
      <c r="Y44" s="1464">
        <f t="shared" ca="1" si="2"/>
        <v>47391</v>
      </c>
      <c r="Z44" s="95" t="str">
        <f t="shared" si="5"/>
        <v/>
      </c>
      <c r="AA44" s="1466" t="str">
        <f t="shared" si="4"/>
        <v/>
      </c>
      <c r="AB44" s="1461" t="str">
        <f t="shared" si="3"/>
        <v/>
      </c>
    </row>
    <row r="45" spans="3:31" outlineLevel="1" x14ac:dyDescent="0.2">
      <c r="C45" s="1310" t="str">
        <f>'Tax Credit Calc'!A84</f>
        <v>Relocation Costs</v>
      </c>
      <c r="D45" s="646"/>
      <c r="E45" s="394"/>
      <c r="F45" s="394"/>
      <c r="G45" s="394"/>
      <c r="H45" s="394">
        <f t="shared" si="9"/>
        <v>0</v>
      </c>
      <c r="I45" s="394"/>
      <c r="J45" s="394">
        <f t="shared" si="10"/>
        <v>0</v>
      </c>
      <c r="K45" s="394"/>
      <c r="L45" s="427">
        <f>'Project Costs &amp; Basis'!J61</f>
        <v>0</v>
      </c>
      <c r="M45" s="394"/>
      <c r="N45" s="394"/>
      <c r="O45" s="394"/>
      <c r="P45" s="428">
        <f>'Project Costs &amp; Basis'!E61</f>
        <v>0</v>
      </c>
      <c r="R45" s="402"/>
      <c r="W45" s="438"/>
      <c r="Y45" s="1464">
        <f t="shared" ca="1" si="2"/>
        <v>47422</v>
      </c>
      <c r="Z45" s="95" t="str">
        <f t="shared" si="5"/>
        <v/>
      </c>
      <c r="AA45" s="1466" t="str">
        <f t="shared" si="4"/>
        <v/>
      </c>
      <c r="AB45" s="1461" t="str">
        <f t="shared" si="3"/>
        <v/>
      </c>
    </row>
    <row r="46" spans="3:31" ht="10.8" outlineLevel="1" thickBot="1" x14ac:dyDescent="0.25">
      <c r="C46" s="1310" t="str">
        <f>'Tax Credit Calc'!A85</f>
        <v>FF&amp;E</v>
      </c>
      <c r="D46" s="646"/>
      <c r="E46" s="394"/>
      <c r="F46" s="394"/>
      <c r="G46" s="394"/>
      <c r="H46" s="394">
        <f t="shared" si="9"/>
        <v>0</v>
      </c>
      <c r="I46" s="394"/>
      <c r="J46" s="394">
        <f t="shared" si="10"/>
        <v>0</v>
      </c>
      <c r="K46" s="394"/>
      <c r="L46" s="427">
        <f>'Project Costs &amp; Basis'!J63</f>
        <v>0</v>
      </c>
      <c r="M46" s="394"/>
      <c r="N46" s="394"/>
      <c r="O46" s="394"/>
      <c r="P46" s="428">
        <f>'Project Costs &amp; Basis'!E63</f>
        <v>0</v>
      </c>
      <c r="R46" s="402"/>
      <c r="W46" s="438"/>
      <c r="Y46" s="1468">
        <f t="shared" ca="1" si="2"/>
        <v>47452</v>
      </c>
      <c r="Z46" s="1469" t="str">
        <f t="shared" si="5"/>
        <v/>
      </c>
      <c r="AA46" s="1470" t="str">
        <f t="shared" si="4"/>
        <v/>
      </c>
      <c r="AB46" s="1461" t="str">
        <f t="shared" si="3"/>
        <v/>
      </c>
    </row>
    <row r="47" spans="3:31" outlineLevel="1" x14ac:dyDescent="0.2">
      <c r="C47" s="1310" t="str">
        <f>'Tax Credit Calc'!A86</f>
        <v>Other</v>
      </c>
      <c r="D47" s="646"/>
      <c r="E47" s="394"/>
      <c r="F47" s="394"/>
      <c r="G47" s="394"/>
      <c r="H47" s="429">
        <f t="shared" si="9"/>
        <v>0</v>
      </c>
      <c r="I47" s="394"/>
      <c r="J47" s="429">
        <f t="shared" si="10"/>
        <v>0</v>
      </c>
      <c r="K47" s="394"/>
      <c r="L47" s="430">
        <f>'Project Costs &amp; Basis'!J65</f>
        <v>0</v>
      </c>
      <c r="M47" s="394"/>
      <c r="N47" s="394"/>
      <c r="O47" s="394"/>
      <c r="P47" s="431">
        <f>'Project Costs &amp; Basis'!E65</f>
        <v>0</v>
      </c>
      <c r="R47" s="402"/>
      <c r="W47" s="438"/>
    </row>
    <row r="48" spans="3:31" s="436" customFormat="1" outlineLevel="2" x14ac:dyDescent="0.2">
      <c r="C48" s="1312" t="str">
        <f>'Tax Credit Calc'!A87</f>
        <v>Subtotal  Miscellaneous</v>
      </c>
      <c r="D48" s="1311"/>
      <c r="E48" s="433"/>
      <c r="F48" s="433"/>
      <c r="G48" s="433"/>
      <c r="H48" s="433">
        <f>SUM(H41:H47)</f>
        <v>0</v>
      </c>
      <c r="I48" s="433"/>
      <c r="J48" s="433">
        <f t="shared" si="10"/>
        <v>0</v>
      </c>
      <c r="K48" s="433"/>
      <c r="L48" s="433">
        <f>SUM(L41:L47)</f>
        <v>0</v>
      </c>
      <c r="M48" s="433"/>
      <c r="N48" s="433"/>
      <c r="O48" s="433"/>
      <c r="P48" s="434">
        <f>H48+L48</f>
        <v>0</v>
      </c>
      <c r="R48" s="439"/>
      <c r="W48" s="440"/>
      <c r="AE48" s="1166"/>
    </row>
    <row r="49" spans="3:31" outlineLevel="1" x14ac:dyDescent="0.2">
      <c r="C49" s="1310"/>
      <c r="D49" s="646"/>
      <c r="E49" s="394"/>
      <c r="F49" s="394"/>
      <c r="G49" s="394"/>
      <c r="H49" s="394"/>
      <c r="I49" s="394"/>
      <c r="J49" s="394"/>
      <c r="K49" s="394"/>
      <c r="L49" s="394"/>
      <c r="M49" s="394"/>
      <c r="N49" s="394"/>
      <c r="O49" s="394"/>
      <c r="P49" s="428"/>
      <c r="R49" s="402"/>
      <c r="W49" s="438"/>
    </row>
    <row r="50" spans="3:31" outlineLevel="2" x14ac:dyDescent="0.2">
      <c r="C50" s="1310" t="str">
        <f>'Tax Credit Calc'!A89</f>
        <v>Acquisition: Buildings</v>
      </c>
      <c r="D50" s="646"/>
      <c r="E50" s="394"/>
      <c r="F50" s="394"/>
      <c r="G50" s="394"/>
      <c r="H50" s="394">
        <f>P50-L50</f>
        <v>0</v>
      </c>
      <c r="I50" s="394"/>
      <c r="J50" s="394">
        <f t="shared" ref="J50:J55" si="11">IF($G$5=0,0,H50/$G$5)</f>
        <v>0</v>
      </c>
      <c r="K50" s="394"/>
      <c r="L50" s="427">
        <f>'Project Costs &amp; Basis'!J73</f>
        <v>0</v>
      </c>
      <c r="M50" s="394"/>
      <c r="N50" s="394"/>
      <c r="O50" s="394"/>
      <c r="P50" s="428">
        <f>'Project Costs &amp; Basis'!E73</f>
        <v>0</v>
      </c>
      <c r="R50" s="402"/>
      <c r="W50" s="438"/>
    </row>
    <row r="51" spans="3:31" outlineLevel="2" x14ac:dyDescent="0.2">
      <c r="C51" s="1310" t="str">
        <f>'Tax Credit Calc'!A90</f>
        <v>Acquisition: Land</v>
      </c>
      <c r="D51" s="646"/>
      <c r="E51" s="394"/>
      <c r="F51" s="394"/>
      <c r="G51" s="394"/>
      <c r="H51" s="394">
        <f>P51-L51</f>
        <v>0</v>
      </c>
      <c r="I51" s="394"/>
      <c r="J51" s="394">
        <f t="shared" si="11"/>
        <v>0</v>
      </c>
      <c r="K51" s="394"/>
      <c r="L51" s="427">
        <f>'Project Costs &amp; Basis'!J75</f>
        <v>0</v>
      </c>
      <c r="M51" s="394"/>
      <c r="N51" s="394"/>
      <c r="O51" s="394"/>
      <c r="P51" s="428">
        <f>'Project Costs &amp; Basis'!E75</f>
        <v>0</v>
      </c>
      <c r="R51" s="402"/>
      <c r="W51" s="438"/>
    </row>
    <row r="52" spans="3:31" outlineLevel="2" x14ac:dyDescent="0.2">
      <c r="C52" s="1310" t="str">
        <f>'Tax Credit Calc'!A91</f>
        <v>Acquisition: Existing Reserves</v>
      </c>
      <c r="D52" s="646"/>
      <c r="E52" s="394"/>
      <c r="F52" s="394"/>
      <c r="G52" s="394"/>
      <c r="H52" s="394">
        <f>P52-L52</f>
        <v>0</v>
      </c>
      <c r="I52" s="394"/>
      <c r="J52" s="394">
        <f t="shared" si="11"/>
        <v>0</v>
      </c>
      <c r="K52" s="394"/>
      <c r="L52" s="427">
        <f>'Project Costs &amp; Basis'!J77</f>
        <v>0</v>
      </c>
      <c r="M52" s="394"/>
      <c r="N52" s="394"/>
      <c r="O52" s="394"/>
      <c r="P52" s="428">
        <f>'Project Costs &amp; Basis'!E77</f>
        <v>0</v>
      </c>
      <c r="R52" s="402"/>
      <c r="W52" s="438"/>
    </row>
    <row r="53" spans="3:31" outlineLevel="2" x14ac:dyDescent="0.2">
      <c r="C53" s="1310" t="str">
        <f>'Tax Credit Calc'!A92</f>
        <v>Acquisition: Legal</v>
      </c>
      <c r="D53" s="646"/>
      <c r="E53" s="394"/>
      <c r="F53" s="394"/>
      <c r="G53" s="394"/>
      <c r="H53" s="394">
        <f>P53-L53</f>
        <v>0</v>
      </c>
      <c r="I53" s="394"/>
      <c r="J53" s="394">
        <f t="shared" si="11"/>
        <v>0</v>
      </c>
      <c r="K53" s="394"/>
      <c r="L53" s="427">
        <f>'Project Costs &amp; Basis'!J79</f>
        <v>0</v>
      </c>
      <c r="M53" s="394"/>
      <c r="N53" s="394"/>
      <c r="O53" s="394"/>
      <c r="P53" s="428">
        <f>'Project Costs &amp; Basis'!E79</f>
        <v>0</v>
      </c>
      <c r="R53" s="402"/>
      <c r="W53" s="438"/>
    </row>
    <row r="54" spans="3:31" outlineLevel="2" x14ac:dyDescent="0.2">
      <c r="C54" s="1310" t="str">
        <f>'Tax Credit Calc'!A93</f>
        <v>Acquisition: other</v>
      </c>
      <c r="D54" s="646"/>
      <c r="E54" s="394"/>
      <c r="F54" s="394"/>
      <c r="G54" s="394"/>
      <c r="H54" s="429">
        <f>P54-L54</f>
        <v>0</v>
      </c>
      <c r="I54" s="394"/>
      <c r="J54" s="429">
        <f t="shared" si="11"/>
        <v>0</v>
      </c>
      <c r="K54" s="394"/>
      <c r="L54" s="430">
        <f>'Project Costs &amp; Basis'!J81</f>
        <v>0</v>
      </c>
      <c r="M54" s="394"/>
      <c r="N54" s="394"/>
      <c r="O54" s="394"/>
      <c r="P54" s="431">
        <f>'Project Costs &amp; Basis'!E81</f>
        <v>0</v>
      </c>
      <c r="R54" s="402"/>
      <c r="W54" s="438"/>
    </row>
    <row r="55" spans="3:31" s="436" customFormat="1" outlineLevel="2" x14ac:dyDescent="0.2">
      <c r="C55" s="1312" t="str">
        <f>'Tax Credit Calc'!A94</f>
        <v>Subtotal  Acquisition</v>
      </c>
      <c r="D55" s="1311"/>
      <c r="E55" s="433"/>
      <c r="F55" s="433"/>
      <c r="G55" s="433"/>
      <c r="H55" s="433">
        <f>SUM(H50:H54)</f>
        <v>0</v>
      </c>
      <c r="I55" s="433"/>
      <c r="J55" s="433">
        <f t="shared" si="11"/>
        <v>0</v>
      </c>
      <c r="K55" s="433"/>
      <c r="L55" s="433">
        <f>SUM(L50:L54)</f>
        <v>0</v>
      </c>
      <c r="M55" s="433"/>
      <c r="N55" s="433"/>
      <c r="O55" s="433"/>
      <c r="P55" s="434">
        <f>H55+L55</f>
        <v>0</v>
      </c>
      <c r="R55" s="439"/>
      <c r="W55" s="440"/>
      <c r="AE55" s="1166"/>
    </row>
    <row r="56" spans="3:31" outlineLevel="1" x14ac:dyDescent="0.2">
      <c r="C56" s="1310"/>
      <c r="D56" s="646"/>
      <c r="E56" s="394"/>
      <c r="F56" s="394"/>
      <c r="G56" s="394"/>
      <c r="H56" s="394"/>
      <c r="I56" s="394"/>
      <c r="J56" s="394"/>
      <c r="K56" s="394"/>
      <c r="L56" s="394"/>
      <c r="M56" s="394"/>
      <c r="N56" s="394"/>
      <c r="O56" s="394"/>
      <c r="P56" s="428"/>
      <c r="R56" s="402"/>
      <c r="W56" s="438"/>
    </row>
    <row r="57" spans="3:31" outlineLevel="1" x14ac:dyDescent="0.2">
      <c r="C57" s="1310" t="str">
        <f>'Tax Credit Calc'!A96</f>
        <v>Operating Deficit Escrow</v>
      </c>
      <c r="D57" s="646"/>
      <c r="E57" s="394"/>
      <c r="F57" s="394"/>
      <c r="G57" s="394"/>
      <c r="H57" s="394">
        <f t="shared" ref="H57:H65" si="12">P57-L57</f>
        <v>0</v>
      </c>
      <c r="I57" s="394"/>
      <c r="J57" s="394">
        <f t="shared" ref="J57:J66" si="13">IF($G$5=0,0,H57/$G$5)</f>
        <v>0</v>
      </c>
      <c r="K57" s="394"/>
      <c r="L57" s="427">
        <f>'Project Costs &amp; Basis'!J88</f>
        <v>0</v>
      </c>
      <c r="M57" s="394"/>
      <c r="N57" s="394"/>
      <c r="O57" s="394"/>
      <c r="P57" s="428">
        <f>'Project Costs &amp; Basis'!E88</f>
        <v>0</v>
      </c>
      <c r="R57" s="402"/>
      <c r="W57" s="438"/>
    </row>
    <row r="58" spans="3:31" outlineLevel="1" x14ac:dyDescent="0.2">
      <c r="C58" s="1310" t="str">
        <f>'Tax Credit Calc'!A97</f>
        <v>Pre-funded Replacements</v>
      </c>
      <c r="D58" s="646"/>
      <c r="E58" s="394"/>
      <c r="F58" s="394"/>
      <c r="G58" s="394"/>
      <c r="H58" s="394">
        <f t="shared" si="12"/>
        <v>0</v>
      </c>
      <c r="I58" s="394"/>
      <c r="J58" s="394">
        <f t="shared" si="13"/>
        <v>0</v>
      </c>
      <c r="K58" s="394"/>
      <c r="L58" s="427">
        <f>'Project Costs &amp; Basis'!J90</f>
        <v>0</v>
      </c>
      <c r="M58" s="394"/>
      <c r="N58" s="394"/>
      <c r="O58" s="394"/>
      <c r="P58" s="428">
        <f>'Project Costs &amp; Basis'!E90</f>
        <v>0</v>
      </c>
      <c r="R58" s="402"/>
      <c r="W58" s="438"/>
    </row>
    <row r="59" spans="3:31" outlineLevel="1" x14ac:dyDescent="0.2">
      <c r="C59" s="1310" t="str">
        <f>'Tax Credit Calc'!A98</f>
        <v>Tax &amp; Insurance Escrow</v>
      </c>
      <c r="D59" s="646"/>
      <c r="E59" s="394"/>
      <c r="F59" s="394"/>
      <c r="G59" s="394"/>
      <c r="H59" s="394">
        <f t="shared" si="12"/>
        <v>0</v>
      </c>
      <c r="I59" s="394"/>
      <c r="J59" s="394">
        <f t="shared" si="13"/>
        <v>0</v>
      </c>
      <c r="K59" s="394"/>
      <c r="L59" s="427">
        <f>'Project Costs &amp; Basis'!J92</f>
        <v>0</v>
      </c>
      <c r="M59" s="394"/>
      <c r="N59" s="394"/>
      <c r="O59" s="394"/>
      <c r="P59" s="428">
        <f>'Project Costs &amp; Basis'!E92</f>
        <v>0</v>
      </c>
      <c r="R59" s="409"/>
      <c r="S59" s="412"/>
      <c r="T59" s="412"/>
      <c r="U59" s="412"/>
      <c r="V59" s="412"/>
      <c r="W59" s="441"/>
    </row>
    <row r="60" spans="3:31" outlineLevel="1" x14ac:dyDescent="0.2">
      <c r="C60" s="1310" t="str">
        <f>'Tax Credit Calc'!A99</f>
        <v>Working Capital</v>
      </c>
      <c r="D60" s="646"/>
      <c r="E60" s="394"/>
      <c r="F60" s="394"/>
      <c r="G60" s="394"/>
      <c r="H60" s="394">
        <f t="shared" si="12"/>
        <v>0</v>
      </c>
      <c r="I60" s="394"/>
      <c r="J60" s="394">
        <f t="shared" si="13"/>
        <v>0</v>
      </c>
      <c r="K60" s="394"/>
      <c r="L60" s="427">
        <f>'Project Costs &amp; Basis'!J94</f>
        <v>0</v>
      </c>
      <c r="M60" s="394"/>
      <c r="N60" s="394"/>
      <c r="O60" s="394"/>
      <c r="P60" s="428">
        <f>'Project Costs &amp; Basis'!E94</f>
        <v>0</v>
      </c>
    </row>
    <row r="61" spans="3:31" outlineLevel="1" x14ac:dyDescent="0.2">
      <c r="C61" s="1310" t="str">
        <f>'Tax Credit Calc'!A100</f>
        <v>Total Syndication Expenses</v>
      </c>
      <c r="D61" s="646"/>
      <c r="E61" s="394"/>
      <c r="F61" s="394"/>
      <c r="G61" s="394"/>
      <c r="H61" s="394">
        <f t="shared" si="12"/>
        <v>0</v>
      </c>
      <c r="I61" s="394"/>
      <c r="J61" s="394">
        <f t="shared" si="13"/>
        <v>0</v>
      </c>
      <c r="K61" s="394"/>
      <c r="L61" s="427">
        <f>'Project Costs &amp; Basis'!J112</f>
        <v>0</v>
      </c>
      <c r="M61" s="394"/>
      <c r="N61" s="394"/>
      <c r="O61" s="394"/>
      <c r="P61" s="428">
        <f>'Project Costs &amp; Basis'!E112</f>
        <v>0</v>
      </c>
      <c r="R61" s="636"/>
      <c r="S61" s="636"/>
      <c r="T61" s="532">
        <f>IF(G5&lt;20,G5*17500,20*17500+(G5-20)*15000)</f>
        <v>0</v>
      </c>
      <c r="U61" s="532">
        <f>IF(G5&lt;20,G5*10000,20*10000+(G5-20)*5000)</f>
        <v>0</v>
      </c>
      <c r="V61" s="532">
        <f>IF('Project Information'!D28+'Project Information'!I28 =0,0,IF(OR('Project Information'!D26="Acquisition/Rehab",'Project Information'!D26="Acquisition/Rehab With New Construction"),U61*('Project Information'!D28/('Project Information'!D28+'Project Information'!I28))+T61*(1-('Project Information'!D28/('Project Information'!D28+'Project Information'!I28))),T61))</f>
        <v>0</v>
      </c>
      <c r="W61" s="442"/>
    </row>
    <row r="62" spans="3:31" outlineLevel="1" x14ac:dyDescent="0.2">
      <c r="C62" s="1310" t="str">
        <f>'Tax Credit Calc'!A101</f>
        <v>Consultant Fee</v>
      </c>
      <c r="D62" s="646"/>
      <c r="E62" s="394"/>
      <c r="F62" s="394"/>
      <c r="G62" s="394"/>
      <c r="H62" s="394">
        <f t="shared" si="12"/>
        <v>0</v>
      </c>
      <c r="I62" s="394"/>
      <c r="J62" s="394">
        <f t="shared" si="13"/>
        <v>0</v>
      </c>
      <c r="K62" s="394"/>
      <c r="L62" s="427">
        <f>'Project Costs &amp; Basis'!J116</f>
        <v>0</v>
      </c>
      <c r="M62" s="394"/>
      <c r="N62" s="394"/>
      <c r="O62" s="394"/>
      <c r="P62" s="428">
        <f>'Project Costs &amp; Basis'!E116</f>
        <v>0</v>
      </c>
      <c r="Q62" s="442"/>
      <c r="R62" s="625" t="s">
        <v>693</v>
      </c>
      <c r="S62" s="529"/>
      <c r="T62" s="529"/>
      <c r="U62" s="529"/>
      <c r="V62" s="634">
        <f>(H68-H55-H62-H63-H64)*15%+(H55*10%)</f>
        <v>0</v>
      </c>
      <c r="W62" s="1783" t="str">
        <f>IF(V64&gt;V62,"Gross Fee is Too High","")</f>
        <v/>
      </c>
      <c r="AB62" s="530"/>
    </row>
    <row r="63" spans="3:31" outlineLevel="1" x14ac:dyDescent="0.2">
      <c r="C63" s="1310" t="str">
        <f>'Tax Credit Calc'!A102</f>
        <v>Developer Overhead</v>
      </c>
      <c r="D63" s="646"/>
      <c r="E63" s="394"/>
      <c r="F63" s="394"/>
      <c r="G63" s="394"/>
      <c r="H63" s="394">
        <f t="shared" si="12"/>
        <v>0</v>
      </c>
      <c r="I63" s="394"/>
      <c r="J63" s="394">
        <f t="shared" si="13"/>
        <v>0</v>
      </c>
      <c r="K63" s="394"/>
      <c r="L63" s="427">
        <f>'Project Costs &amp; Basis'!J118</f>
        <v>0</v>
      </c>
      <c r="M63" s="394"/>
      <c r="N63" s="394"/>
      <c r="O63" s="394"/>
      <c r="P63" s="428">
        <f>'Project Costs &amp; Basis'!E118</f>
        <v>0</v>
      </c>
      <c r="R63" s="402" t="s">
        <v>694</v>
      </c>
      <c r="V63" s="428">
        <f>IF(V62&lt;750000,V62,750000)</f>
        <v>0</v>
      </c>
      <c r="W63" s="1783"/>
    </row>
    <row r="64" spans="3:31" outlineLevel="1" x14ac:dyDescent="0.2">
      <c r="C64" s="1310" t="str">
        <f>'Tax Credit Calc'!A103</f>
        <v>Developer Profit</v>
      </c>
      <c r="D64" s="646"/>
      <c r="E64" s="394"/>
      <c r="F64" s="394"/>
      <c r="G64" s="394"/>
      <c r="H64" s="394">
        <f t="shared" si="12"/>
        <v>0</v>
      </c>
      <c r="I64" s="394"/>
      <c r="J64" s="394">
        <f t="shared" si="13"/>
        <v>0</v>
      </c>
      <c r="K64" s="394"/>
      <c r="L64" s="427">
        <f>'Project Costs &amp; Basis'!J120</f>
        <v>0</v>
      </c>
      <c r="M64" s="394"/>
      <c r="N64" s="394"/>
      <c r="O64" s="394"/>
      <c r="P64" s="428">
        <f>'Project Costs &amp; Basis'!E120</f>
        <v>0</v>
      </c>
      <c r="R64" s="402" t="s">
        <v>695</v>
      </c>
      <c r="V64" s="428">
        <f>H62+H63+H64</f>
        <v>0</v>
      </c>
      <c r="W64" s="1784" t="str">
        <f>IF(W62="","",IF(V66&gt;V63,"and",""))</f>
        <v/>
      </c>
    </row>
    <row r="65" spans="3:31" outlineLevel="1" x14ac:dyDescent="0.2">
      <c r="C65" s="1310" t="str">
        <f>'Tax Credit Calc'!A104</f>
        <v>Other</v>
      </c>
      <c r="D65" s="646"/>
      <c r="E65" s="394"/>
      <c r="F65" s="394"/>
      <c r="G65" s="394"/>
      <c r="H65" s="429">
        <f t="shared" si="12"/>
        <v>0</v>
      </c>
      <c r="I65" s="394"/>
      <c r="J65" s="429">
        <f t="shared" si="13"/>
        <v>0</v>
      </c>
      <c r="K65" s="394"/>
      <c r="L65" s="430">
        <f>'Project Costs &amp; Basis'!J96</f>
        <v>0</v>
      </c>
      <c r="M65" s="394"/>
      <c r="N65" s="394"/>
      <c r="O65" s="394"/>
      <c r="P65" s="431">
        <f>'Project Costs &amp; Basis'!E96</f>
        <v>0</v>
      </c>
      <c r="R65" s="402" t="s">
        <v>690</v>
      </c>
      <c r="V65" s="443">
        <f>IF(V62=0,0,V64/V62)</f>
        <v>0</v>
      </c>
      <c r="W65" s="1784"/>
    </row>
    <row r="66" spans="3:31" s="436" customFormat="1" outlineLevel="1" x14ac:dyDescent="0.2">
      <c r="C66" s="1312" t="str">
        <f>'Tax Credit Calc'!A105</f>
        <v>Subtotal Fee and Reserves</v>
      </c>
      <c r="D66" s="1311"/>
      <c r="E66" s="433"/>
      <c r="F66" s="433"/>
      <c r="G66" s="433"/>
      <c r="H66" s="433">
        <f>SUM(H57:H65)</f>
        <v>0</v>
      </c>
      <c r="I66" s="433"/>
      <c r="J66" s="433">
        <f t="shared" si="13"/>
        <v>0</v>
      </c>
      <c r="K66" s="433"/>
      <c r="L66" s="433">
        <f>SUM(L57:L65)</f>
        <v>0</v>
      </c>
      <c r="M66" s="433"/>
      <c r="N66" s="433"/>
      <c r="O66" s="433"/>
      <c r="P66" s="434">
        <f>H66+L66</f>
        <v>0</v>
      </c>
      <c r="R66" s="402" t="s">
        <v>691</v>
      </c>
      <c r="T66" s="397"/>
      <c r="U66" s="397"/>
      <c r="V66" s="434">
        <f>V64-T99</f>
        <v>0</v>
      </c>
      <c r="W66" s="1783" t="str">
        <f>IF(V66&gt;V63,"Net Fee is Too High","")</f>
        <v/>
      </c>
      <c r="Y66" s="397"/>
      <c r="AE66" s="1166"/>
    </row>
    <row r="67" spans="3:31" outlineLevel="1" x14ac:dyDescent="0.2">
      <c r="C67" s="426"/>
      <c r="D67" s="394"/>
      <c r="E67" s="394"/>
      <c r="F67" s="394"/>
      <c r="G67" s="394"/>
      <c r="H67" s="394"/>
      <c r="I67" s="394"/>
      <c r="J67" s="394"/>
      <c r="K67" s="394"/>
      <c r="L67" s="394"/>
      <c r="M67" s="394"/>
      <c r="N67" s="394"/>
      <c r="O67" s="394"/>
      <c r="P67" s="428"/>
      <c r="R67" s="409" t="s">
        <v>692</v>
      </c>
      <c r="S67" s="412"/>
      <c r="T67" s="412"/>
      <c r="U67" s="412"/>
      <c r="V67" s="444">
        <f>IF(V62=0,0,V66/V63)</f>
        <v>0</v>
      </c>
      <c r="W67" s="1783"/>
    </row>
    <row r="68" spans="3:31" s="436" customFormat="1" outlineLevel="1" x14ac:dyDescent="0.2">
      <c r="C68" s="457"/>
      <c r="D68" s="446"/>
      <c r="E68" s="446" t="str">
        <f>'Tax Credit Calc'!A107</f>
        <v>Total Project Costs</v>
      </c>
      <c r="F68" s="446"/>
      <c r="G68" s="446"/>
      <c r="H68" s="446">
        <f>H21+H32+H39+H48+H55+H66</f>
        <v>0</v>
      </c>
      <c r="I68" s="446"/>
      <c r="J68" s="446">
        <f>IF($G$5=0,0,H68/$G$5)</f>
        <v>0</v>
      </c>
      <c r="K68" s="446"/>
      <c r="L68" s="993">
        <f>L21+L32+L39+L48+L55+L66</f>
        <v>0</v>
      </c>
      <c r="M68" s="446"/>
      <c r="N68" s="446"/>
      <c r="O68" s="446"/>
      <c r="P68" s="447">
        <f>H68+L68</f>
        <v>0</v>
      </c>
      <c r="U68" s="637" t="str">
        <f>IF(V68="","","Net Fee Collected should not exceed")</f>
        <v/>
      </c>
      <c r="V68" s="448" t="str">
        <f>IF(W66="","",V63)</f>
        <v/>
      </c>
      <c r="W68" s="449"/>
      <c r="Y68" s="397"/>
      <c r="AE68" s="1166"/>
    </row>
    <row r="69" spans="3:31" outlineLevel="1" x14ac:dyDescent="0.2">
      <c r="C69" s="433"/>
      <c r="D69" s="433"/>
      <c r="E69" s="433"/>
      <c r="F69" s="394"/>
      <c r="G69" s="394"/>
      <c r="H69" s="394"/>
      <c r="I69" s="394"/>
      <c r="J69" s="394"/>
      <c r="K69" s="394"/>
      <c r="L69" s="394"/>
      <c r="M69" s="394"/>
      <c r="N69" s="394"/>
      <c r="O69" s="394"/>
      <c r="P69" s="394"/>
      <c r="R69" s="638" t="str">
        <f>IF(W64="","",W64)</f>
        <v/>
      </c>
      <c r="U69" s="637" t="str">
        <f>IF(V69="","","Gross Fee should not exceed")</f>
        <v/>
      </c>
      <c r="V69" s="448" t="str">
        <f>IF(W62="","",V62)</f>
        <v/>
      </c>
      <c r="W69" s="442"/>
    </row>
    <row r="70" spans="3:31" x14ac:dyDescent="0.2">
      <c r="C70" s="436" t="s">
        <v>41</v>
      </c>
      <c r="D70" s="436"/>
      <c r="E70" s="436"/>
      <c r="F70" s="407"/>
      <c r="G70" s="407"/>
      <c r="H70" s="407"/>
      <c r="I70" s="407"/>
      <c r="J70" s="407"/>
      <c r="K70" s="407"/>
      <c r="L70" s="450"/>
      <c r="M70" s="450"/>
      <c r="N70" s="450"/>
      <c r="O70" s="450"/>
      <c r="P70" s="450"/>
      <c r="Q70" s="450"/>
      <c r="R70" s="450"/>
      <c r="S70" s="450"/>
      <c r="T70" s="450"/>
      <c r="U70" s="427"/>
      <c r="W70" s="398" t="str">
        <f>'Project Information'!D4</f>
        <v>Project Name</v>
      </c>
    </row>
    <row r="71" spans="3:31" x14ac:dyDescent="0.2">
      <c r="C71" s="639" t="s">
        <v>359</v>
      </c>
      <c r="D71" s="613"/>
      <c r="E71" s="613"/>
      <c r="F71" s="613"/>
      <c r="G71" s="640"/>
      <c r="H71" s="613"/>
      <c r="I71" s="613"/>
      <c r="J71" s="613"/>
      <c r="K71" s="613"/>
      <c r="L71" s="613"/>
      <c r="M71" s="613"/>
      <c r="N71" s="613"/>
      <c r="O71" s="613"/>
      <c r="P71" s="613"/>
      <c r="Q71" s="613"/>
      <c r="R71" s="613"/>
      <c r="S71" s="613"/>
      <c r="T71" s="641"/>
    </row>
    <row r="72" spans="3:31" x14ac:dyDescent="0.2">
      <c r="C72" s="642"/>
      <c r="D72" s="614"/>
      <c r="E72" s="614"/>
      <c r="F72" s="614"/>
      <c r="G72" s="529"/>
      <c r="H72" s="619"/>
      <c r="I72" s="614"/>
      <c r="J72" s="614"/>
      <c r="K72" s="614"/>
      <c r="L72" s="643"/>
      <c r="M72" s="643"/>
      <c r="N72" s="643"/>
      <c r="O72" s="643"/>
      <c r="P72" s="643"/>
      <c r="Q72" s="643"/>
      <c r="R72" s="1128" t="s">
        <v>667</v>
      </c>
      <c r="S72" s="619" t="s">
        <v>668</v>
      </c>
      <c r="T72" s="644"/>
    </row>
    <row r="73" spans="3:31" ht="12.75" customHeight="1" x14ac:dyDescent="0.2">
      <c r="C73" s="426"/>
      <c r="D73" s="394"/>
      <c r="E73" s="394"/>
      <c r="F73" s="394"/>
      <c r="G73" s="1352">
        <f ca="1">IF(INDIRECT("'Project Completion Sch'!G35",TRUE)="",EOMONTH(TODAY(),12),INDIRECT("'Project Completion Sch'!G35",TRUE))</f>
        <v>46203</v>
      </c>
      <c r="H73" s="394"/>
      <c r="I73" s="452" t="s">
        <v>357</v>
      </c>
      <c r="J73" s="453"/>
      <c r="K73" s="454"/>
      <c r="L73" s="453"/>
      <c r="M73" s="451" t="s">
        <v>41</v>
      </c>
      <c r="N73" s="451"/>
      <c r="O73" s="451"/>
      <c r="P73" s="1353">
        <f ca="1">EOMONTH(G73,SUM(Y92,AC92))</f>
        <v>46568</v>
      </c>
      <c r="R73" s="451" t="s">
        <v>670</v>
      </c>
      <c r="S73" s="455" t="s">
        <v>669</v>
      </c>
      <c r="T73" s="456"/>
    </row>
    <row r="74" spans="3:31" x14ac:dyDescent="0.2">
      <c r="C74" s="457" t="s">
        <v>355</v>
      </c>
      <c r="D74" s="615"/>
      <c r="E74" s="615"/>
      <c r="F74" s="458"/>
      <c r="G74" s="455" t="s">
        <v>358</v>
      </c>
      <c r="H74" s="410"/>
      <c r="I74" s="459">
        <v>0.25</v>
      </c>
      <c r="J74" s="459">
        <v>0.5</v>
      </c>
      <c r="K74" s="459">
        <v>0.75</v>
      </c>
      <c r="L74" s="459">
        <v>1</v>
      </c>
      <c r="M74" s="412"/>
      <c r="N74" s="412"/>
      <c r="O74" s="412"/>
      <c r="P74" s="455" t="s">
        <v>356</v>
      </c>
      <c r="Q74" s="412"/>
      <c r="R74" s="460" t="s">
        <v>666</v>
      </c>
      <c r="S74" s="461" t="s">
        <v>545</v>
      </c>
      <c r="T74" s="425" t="s">
        <v>278</v>
      </c>
    </row>
    <row r="75" spans="3:31" x14ac:dyDescent="0.2">
      <c r="C75" s="642"/>
      <c r="D75" s="614"/>
      <c r="E75" s="614"/>
      <c r="F75" s="614"/>
      <c r="G75" s="614"/>
      <c r="H75" s="614"/>
      <c r="I75" s="614"/>
      <c r="J75" s="643"/>
      <c r="K75" s="643"/>
      <c r="L75" s="643"/>
      <c r="M75" s="529"/>
      <c r="N75" s="529"/>
      <c r="O75" s="529"/>
      <c r="P75" s="614"/>
      <c r="Q75" s="529"/>
      <c r="R75" s="643"/>
      <c r="S75" s="643"/>
      <c r="T75" s="644"/>
    </row>
    <row r="76" spans="3:31" x14ac:dyDescent="0.2">
      <c r="C76" s="426" t="s">
        <v>354</v>
      </c>
      <c r="D76" s="394"/>
      <c r="E76" s="394"/>
      <c r="F76" s="394"/>
      <c r="G76" s="394">
        <v>0</v>
      </c>
      <c r="H76" s="394"/>
      <c r="I76" s="394">
        <f>G120</f>
        <v>0</v>
      </c>
      <c r="J76" s="427">
        <f>I120</f>
        <v>0</v>
      </c>
      <c r="K76" s="427">
        <f>J120</f>
        <v>0</v>
      </c>
      <c r="L76" s="427">
        <f>K120</f>
        <v>0</v>
      </c>
      <c r="P76" s="394">
        <f>L120</f>
        <v>0</v>
      </c>
      <c r="R76" s="427">
        <f>P120</f>
        <v>0</v>
      </c>
      <c r="S76" s="427">
        <f>R120</f>
        <v>0</v>
      </c>
      <c r="T76" s="456">
        <f>G76</f>
        <v>0</v>
      </c>
    </row>
    <row r="77" spans="3:31" x14ac:dyDescent="0.2">
      <c r="C77" s="426"/>
      <c r="D77" s="394"/>
      <c r="E77" s="394"/>
      <c r="F77" s="394"/>
      <c r="G77" s="394"/>
      <c r="H77" s="394"/>
      <c r="I77" s="394"/>
      <c r="J77" s="394"/>
      <c r="K77" s="427"/>
      <c r="L77" s="427"/>
      <c r="P77" s="394"/>
      <c r="R77" s="427"/>
      <c r="S77" s="427"/>
      <c r="T77" s="456"/>
      <c r="V77" s="436" t="s">
        <v>483</v>
      </c>
    </row>
    <row r="78" spans="3:31" x14ac:dyDescent="0.2">
      <c r="C78" s="426" t="s">
        <v>1514</v>
      </c>
      <c r="D78" s="394"/>
      <c r="E78" s="394"/>
      <c r="F78" s="1318"/>
      <c r="G78" s="394">
        <f>IF(P68=0,0,IF(Sources!C13=0,0,Sources!C13-SUM(I78:L78)))</f>
        <v>0</v>
      </c>
      <c r="H78" s="394"/>
      <c r="I78" s="394"/>
      <c r="J78" s="394">
        <f>(Sources!C13-V19)/2</f>
        <v>0</v>
      </c>
      <c r="K78" s="394"/>
      <c r="L78" s="394"/>
      <c r="P78" s="394">
        <f>V21-V17-G78-SUM(I78:L78)-R78-S78</f>
        <v>0</v>
      </c>
      <c r="R78" s="394">
        <f>V21*0.05</f>
        <v>0</v>
      </c>
      <c r="S78" s="394">
        <f>V21*0.0125</f>
        <v>0</v>
      </c>
      <c r="T78" s="456">
        <f>SUM(G78:S78)</f>
        <v>0</v>
      </c>
      <c r="V78" s="936" t="s">
        <v>999</v>
      </c>
      <c r="W78" s="939" t="str">
        <f>IF(V81="Not Applicable","",'Tax Credit Calc'!F107+'MH Underwriting'!L68+'MH Underwriting'!P51)</f>
        <v/>
      </c>
    </row>
    <row r="79" spans="3:31" x14ac:dyDescent="0.2">
      <c r="C79" s="426" t="s">
        <v>1512</v>
      </c>
      <c r="D79" s="394"/>
      <c r="E79" s="394"/>
      <c r="F79" s="1318"/>
      <c r="G79" s="394">
        <f>IF('Tax Credit Calculations'!D38="No",'MH Underwriting'!V17*0.1,0)</f>
        <v>0</v>
      </c>
      <c r="H79" s="394"/>
      <c r="I79" s="394"/>
      <c r="J79" s="394"/>
      <c r="K79" s="394"/>
      <c r="L79" s="394"/>
      <c r="P79" s="394">
        <f>IF(G79&lt;&gt;0,V17*0.9,0)</f>
        <v>0</v>
      </c>
      <c r="R79" s="394"/>
      <c r="S79" s="394">
        <f>IF(W4&lt;&gt;"",W4,0)</f>
        <v>0</v>
      </c>
      <c r="T79" s="456">
        <f>SUM(G79:S79)</f>
        <v>0</v>
      </c>
      <c r="V79" s="65"/>
      <c r="W79" s="66"/>
    </row>
    <row r="80" spans="3:31" x14ac:dyDescent="0.2">
      <c r="C80" s="426" t="s">
        <v>353</v>
      </c>
      <c r="D80" s="394"/>
      <c r="E80" s="394"/>
      <c r="F80" s="1318"/>
      <c r="G80" s="394">
        <f>IF(G118-G78-G79-G81-SUM(G83:G99)-G76&gt;0,G118-G78-G79-G81-SUM(G83:G99)-G76,0)</f>
        <v>0</v>
      </c>
      <c r="H80" s="394"/>
      <c r="I80" s="394">
        <f>IF(I118-I78-I79-I81-SUM(I83:I99)-I76&gt;0,I118-I78-I79-I81-SUM(I83:I99)-I76,0)</f>
        <v>0</v>
      </c>
      <c r="J80" s="394">
        <f>IF(J118-J78-J79-J81-SUM(J83:J99)-J76&gt;0,J118-J78-J79-J81-SUM(J83:J99)-J76,0)</f>
        <v>0</v>
      </c>
      <c r="K80" s="394">
        <f>IF(K118-K78-K79-K81-SUM(K83:K99)-K76&gt;0,K118-K78-K79-K81-SUM(K83:K99)-K76,0)</f>
        <v>0</v>
      </c>
      <c r="L80" s="394">
        <f>IF(L118-L78-L79-L81-SUM(L83:L99)-L76&gt;0,L118-L78-L79-L81-SUM(L83:L99)-L76,0)</f>
        <v>0</v>
      </c>
      <c r="P80" s="394"/>
      <c r="R80" s="427"/>
      <c r="S80" s="427"/>
      <c r="T80" s="456">
        <f>ROUNDUP(SUM(G80:S80),-5)</f>
        <v>0</v>
      </c>
      <c r="V80" s="65" t="s">
        <v>1000</v>
      </c>
      <c r="W80" s="66" t="str">
        <f>IF(W78="","",IF('Tax Credit Calculations'!D6="Yes",SUM(I129:I130),SUM(I129:I131)))</f>
        <v/>
      </c>
    </row>
    <row r="81" spans="1:30" x14ac:dyDescent="0.2">
      <c r="C81" s="426" t="s">
        <v>352</v>
      </c>
      <c r="D81" s="394"/>
      <c r="E81" s="394"/>
      <c r="F81" s="1318"/>
      <c r="G81" s="394"/>
      <c r="H81" s="394"/>
      <c r="I81" s="394"/>
      <c r="J81" s="427"/>
      <c r="K81" s="427"/>
      <c r="L81" s="427"/>
      <c r="P81" s="394"/>
      <c r="R81" s="427"/>
      <c r="S81" s="427"/>
      <c r="T81" s="456">
        <f>SUM(G81:S81)</f>
        <v>0</v>
      </c>
      <c r="V81" s="940" t="str">
        <f>IF('Tax Credit Calc'!E10="No","Not Applicable","")</f>
        <v>Not Applicable</v>
      </c>
      <c r="W81" s="64"/>
    </row>
    <row r="82" spans="1:30" x14ac:dyDescent="0.2">
      <c r="C82" s="426"/>
      <c r="D82" s="394"/>
      <c r="E82" s="394"/>
      <c r="F82" s="989"/>
      <c r="G82" s="394"/>
      <c r="H82" s="394"/>
      <c r="I82" s="394"/>
      <c r="J82" s="394"/>
      <c r="K82" s="394"/>
      <c r="L82" s="394"/>
      <c r="M82" s="394"/>
      <c r="N82" s="394"/>
      <c r="O82" s="394"/>
      <c r="P82" s="394"/>
      <c r="Q82" s="394"/>
      <c r="R82" s="394"/>
      <c r="S82" s="394"/>
      <c r="T82" s="456"/>
      <c r="V82" s="65"/>
      <c r="W82" s="941" t="str">
        <f>IF(W78="","",IF(W78=0,0,W80/W78))</f>
        <v/>
      </c>
    </row>
    <row r="83" spans="1:30" x14ac:dyDescent="0.2">
      <c r="B83" s="1357" t="str">
        <f>CONCATENATE(IF(OR(D83="0% Deferred Loan",D83="0% Deferred Loan 2",D83="0% Deferred Loan 3"),"0% Loan",IF(OR(D83="MH Interest Bearing Loan ",D83="MH Interest Bearing Loan #2",D83="MH Interest Bearing Loan #3"),"MH Loan ",D83))," - ",F83)</f>
        <v xml:space="preserve">0% Deferred Loan     -     FedHOME - </v>
      </c>
      <c r="C83" s="426" t="s">
        <v>713</v>
      </c>
      <c r="D83" s="394" t="str">
        <f>IF(F83="","0% Deferred Loan     -     FedHOME","0% Deferred Loan ")</f>
        <v>0% Deferred Loan     -     FedHOME</v>
      </c>
      <c r="E83" s="394"/>
      <c r="F83" s="1318"/>
      <c r="G83" s="394">
        <f>IF('Project Information'!L4="Yes",0,Sources!C11-SUM(I83:L83))</f>
        <v>0</v>
      </c>
      <c r="H83" s="394"/>
      <c r="I83" s="394"/>
      <c r="J83" s="427"/>
      <c r="K83" s="427"/>
      <c r="L83" s="427"/>
      <c r="P83" s="394">
        <f>IF('Project Information'!L4="Yes",Sources!C32-SUM(G83:L83)-T84-T85,Sources!C32-T84-T85)</f>
        <v>0</v>
      </c>
      <c r="R83" s="427"/>
      <c r="S83" s="427"/>
      <c r="T83" s="456">
        <f t="shared" ref="T83:T88" si="14">SUM(G83:S83)</f>
        <v>0</v>
      </c>
      <c r="V83" s="936" t="s">
        <v>1001</v>
      </c>
      <c r="W83" s="937" t="str">
        <f>IF(W78="","",ROUNDUP(W78*0.55,-4))</f>
        <v/>
      </c>
    </row>
    <row r="84" spans="1:30" x14ac:dyDescent="0.2">
      <c r="B84" s="1358" t="str">
        <f t="shared" ref="B84:B99" si="15">CONCATENATE(IF(OR(D84="0% Deferred Loan",D84="0% Deferred Loan 2",D84="0% Deferred Loan 3"),"0% Loan",IF(OR(D84="MH Interest Bearing Loan ",D84="MH Interest Bearing Loan #2",D84="MH Interest Bearing Loan #3"),"MH Loan ",D84))," - ",F84)</f>
        <v xml:space="preserve">0% Loan - </v>
      </c>
      <c r="C84" s="426"/>
      <c r="D84" s="394" t="s">
        <v>1779</v>
      </c>
      <c r="E84" s="394"/>
      <c r="F84" s="1318"/>
      <c r="G84" s="394"/>
      <c r="H84" s="394"/>
      <c r="I84" s="394"/>
      <c r="J84" s="427"/>
      <c r="K84" s="427"/>
      <c r="L84" s="427"/>
      <c r="P84" s="394">
        <f>SUM(G83:I83)*0.5</f>
        <v>0</v>
      </c>
      <c r="R84" s="427"/>
      <c r="S84" s="427"/>
      <c r="T84" s="456">
        <f t="shared" si="14"/>
        <v>0</v>
      </c>
      <c r="V84" s="63" t="s">
        <v>998</v>
      </c>
      <c r="W84" s="938" t="str">
        <f>IF(W83="","",IF(T80=0,0,W83/T80))</f>
        <v/>
      </c>
    </row>
    <row r="85" spans="1:30" hidden="1" x14ac:dyDescent="0.2">
      <c r="B85" s="1358" t="str">
        <f t="shared" si="15"/>
        <v xml:space="preserve">0% Loan - </v>
      </c>
      <c r="C85" s="426"/>
      <c r="D85" s="394" t="s">
        <v>1780</v>
      </c>
      <c r="E85" s="394"/>
      <c r="F85" s="1318"/>
      <c r="G85" s="394"/>
      <c r="H85" s="394"/>
      <c r="I85" s="394"/>
      <c r="J85" s="427"/>
      <c r="K85" s="427"/>
      <c r="L85" s="427"/>
      <c r="P85" s="394"/>
      <c r="R85" s="427"/>
      <c r="S85" s="427"/>
      <c r="T85" s="456">
        <f t="shared" si="14"/>
        <v>0</v>
      </c>
      <c r="V85" s="63"/>
      <c r="W85" s="938"/>
    </row>
    <row r="86" spans="1:30" x14ac:dyDescent="0.2">
      <c r="B86" s="1358" t="str">
        <f t="shared" si="15"/>
        <v xml:space="preserve">MH Loan  - </v>
      </c>
      <c r="C86" s="426"/>
      <c r="D86" s="645" t="str">
        <f>Sources!B39</f>
        <v xml:space="preserve">MH Interest Bearing Loan </v>
      </c>
      <c r="E86" s="645"/>
      <c r="F86" s="1318"/>
      <c r="G86" s="394"/>
      <c r="H86" s="394"/>
      <c r="I86" s="394"/>
      <c r="J86" s="427"/>
      <c r="K86" s="427"/>
      <c r="L86" s="427"/>
      <c r="P86" s="394">
        <f>Sources!C39</f>
        <v>0</v>
      </c>
      <c r="R86" s="427"/>
      <c r="S86" s="427"/>
      <c r="T86" s="456">
        <f t="shared" si="14"/>
        <v>0</v>
      </c>
      <c r="V86" s="63" t="s">
        <v>1018</v>
      </c>
      <c r="W86" s="994" t="str">
        <f>IF(W78="","",T80-W90)</f>
        <v/>
      </c>
      <c r="X86" s="1359" t="s">
        <v>1683</v>
      </c>
    </row>
    <row r="87" spans="1:30" hidden="1" x14ac:dyDescent="0.2">
      <c r="B87" s="1358" t="str">
        <f t="shared" si="15"/>
        <v xml:space="preserve">MH Loan  - </v>
      </c>
      <c r="C87" s="426"/>
      <c r="D87" s="394" t="str">
        <f>Sources!B40</f>
        <v>MH Interest Bearing Loan #2</v>
      </c>
      <c r="E87" s="646"/>
      <c r="F87" s="1318"/>
      <c r="G87" s="394"/>
      <c r="H87" s="394"/>
      <c r="I87" s="394"/>
      <c r="J87" s="427"/>
      <c r="K87" s="427"/>
      <c r="L87" s="427"/>
      <c r="P87" s="394">
        <f>Sources!C40</f>
        <v>0</v>
      </c>
      <c r="R87" s="427"/>
      <c r="S87" s="427"/>
      <c r="T87" s="456">
        <f t="shared" si="14"/>
        <v>0</v>
      </c>
      <c r="V87" s="1151"/>
      <c r="W87" s="1154"/>
    </row>
    <row r="88" spans="1:30" hidden="1" x14ac:dyDescent="0.2">
      <c r="B88" s="1358" t="str">
        <f t="shared" si="15"/>
        <v xml:space="preserve">MH Loan  - </v>
      </c>
      <c r="C88" s="426"/>
      <c r="D88" s="394" t="str">
        <f>Sources!B41</f>
        <v>MH Interest Bearing Loan #3</v>
      </c>
      <c r="E88" s="646"/>
      <c r="F88" s="1318"/>
      <c r="G88" s="394"/>
      <c r="H88" s="394"/>
      <c r="I88" s="394"/>
      <c r="J88" s="427"/>
      <c r="K88" s="427"/>
      <c r="L88" s="427"/>
      <c r="P88" s="394">
        <f>Sources!C41</f>
        <v>0</v>
      </c>
      <c r="R88" s="427"/>
      <c r="S88" s="427"/>
      <c r="T88" s="456">
        <f t="shared" si="14"/>
        <v>0</v>
      </c>
      <c r="V88" s="402"/>
      <c r="W88" s="438"/>
    </row>
    <row r="89" spans="1:30" x14ac:dyDescent="0.2">
      <c r="B89" s="1358" t="str">
        <f t="shared" si="15"/>
        <v xml:space="preserve"> - </v>
      </c>
      <c r="C89" s="426" t="s">
        <v>351</v>
      </c>
      <c r="D89" s="394"/>
      <c r="E89" s="394"/>
      <c r="F89" s="989"/>
      <c r="G89" s="394"/>
      <c r="H89" s="394"/>
      <c r="I89" s="394"/>
      <c r="J89" s="427"/>
      <c r="K89" s="427"/>
      <c r="L89" s="427"/>
      <c r="R89" s="427"/>
      <c r="S89" s="427"/>
      <c r="T89" s="438"/>
      <c r="V89" s="402"/>
      <c r="W89" s="438"/>
    </row>
    <row r="90" spans="1:30" x14ac:dyDescent="0.2">
      <c r="B90" s="1358" t="str">
        <f t="shared" si="15"/>
        <v xml:space="preserve">AHP Subsidized Advance - </v>
      </c>
      <c r="C90" s="426"/>
      <c r="D90" s="394" t="str">
        <f>IF(Sources!B43="","",Sources!B43)</f>
        <v>AHP Subsidized Advance</v>
      </c>
      <c r="E90" s="394"/>
      <c r="F90" s="1318"/>
      <c r="G90" s="394"/>
      <c r="H90" s="394"/>
      <c r="I90" s="394"/>
      <c r="J90" s="427"/>
      <c r="K90" s="427"/>
      <c r="L90" s="427"/>
      <c r="P90" s="394">
        <f>Sources!C43</f>
        <v>0</v>
      </c>
      <c r="R90" s="427"/>
      <c r="S90" s="427"/>
      <c r="T90" s="456">
        <f>SUM(G90:S90)</f>
        <v>0</v>
      </c>
      <c r="V90" s="409" t="s">
        <v>1142</v>
      </c>
      <c r="W90" s="518" t="str">
        <f>W83</f>
        <v/>
      </c>
      <c r="X90" s="1359" t="s">
        <v>1683</v>
      </c>
      <c r="Y90" s="1782" t="s">
        <v>1115</v>
      </c>
      <c r="Z90" s="1782"/>
      <c r="AA90" s="1782"/>
      <c r="AB90" s="1782"/>
      <c r="AC90" s="1782"/>
      <c r="AD90" s="1782"/>
    </row>
    <row r="91" spans="1:30" x14ac:dyDescent="0.2">
      <c r="B91" s="1358" t="str">
        <f t="shared" si="15"/>
        <v xml:space="preserve"> - </v>
      </c>
      <c r="C91" s="426" t="s">
        <v>1781</v>
      </c>
      <c r="F91" s="57"/>
      <c r="T91" s="456"/>
      <c r="X91" s="1119"/>
      <c r="Y91" s="1119" t="s">
        <v>1100</v>
      </c>
      <c r="Z91" s="1119" t="s">
        <v>1101</v>
      </c>
      <c r="AA91" s="1119" t="s">
        <v>1102</v>
      </c>
      <c r="AB91" s="1119"/>
      <c r="AC91" s="1119" t="s">
        <v>1103</v>
      </c>
      <c r="AD91" s="1119" t="s">
        <v>1104</v>
      </c>
    </row>
    <row r="92" spans="1:30" x14ac:dyDescent="0.2">
      <c r="B92" s="1358" t="str">
        <f t="shared" si="15"/>
        <v xml:space="preserve">City FEDHOME* - </v>
      </c>
      <c r="C92" s="402"/>
      <c r="D92" s="394" t="str">
        <f>IF(Sources!B17="",IF(Sources!B45="","",Sources!B45),Sources!B17)</f>
        <v>City FEDHOME*</v>
      </c>
      <c r="E92" s="394"/>
      <c r="F92" s="1318"/>
      <c r="G92" s="394">
        <f>Sources!C17-SUM(I92:L92)</f>
        <v>0</v>
      </c>
      <c r="H92" s="394"/>
      <c r="I92" s="394"/>
      <c r="J92" s="427"/>
      <c r="K92" s="427"/>
      <c r="L92" s="427"/>
      <c r="P92" s="394">
        <f>Sources!C45</f>
        <v>0</v>
      </c>
      <c r="R92" s="427"/>
      <c r="S92" s="427"/>
      <c r="T92" s="456">
        <f>SUM(G92:S92)</f>
        <v>0</v>
      </c>
      <c r="X92" s="1119"/>
      <c r="Y92" s="1119">
        <f ca="1">IF(INDIRECT("'Project Completion Sch'!G39",TRUE)="",IF(Sources!E21&lt;&gt;"",(Sources!E21*12)-AC92,12),ROUND(((INDIRECT("'Project Completion Sch'!G39",TRUE)-INDIRECT("'Project Completion Sch'!G35",TRUE)))/30,))</f>
        <v>9</v>
      </c>
      <c r="Z92" s="1119">
        <f ca="1">Y92/4</f>
        <v>2.25</v>
      </c>
      <c r="AA92" s="1120">
        <f>IF('Project Information'!L4="No",Sources!D21,4.5%)</f>
        <v>4.4999999999999998E-2</v>
      </c>
      <c r="AB92" s="1119"/>
      <c r="AC92" s="1119">
        <v>3</v>
      </c>
      <c r="AD92" s="1121">
        <v>0.6</v>
      </c>
    </row>
    <row r="93" spans="1:30" x14ac:dyDescent="0.2">
      <c r="B93" s="1358" t="str">
        <f t="shared" si="15"/>
        <v xml:space="preserve">AHP Capital Advance* - </v>
      </c>
      <c r="C93" s="402"/>
      <c r="D93" s="394" t="str">
        <f>IF(Sources!B18="",IF(Sources!B46="","",Sources!B46),Sources!B18)</f>
        <v>AHP Capital Advance*</v>
      </c>
      <c r="E93" s="394"/>
      <c r="F93" s="1318"/>
      <c r="H93" s="394"/>
      <c r="I93" s="394">
        <f>Sources!C18-SUM(G93,J93:L93)</f>
        <v>0</v>
      </c>
      <c r="J93" s="427"/>
      <c r="K93" s="427"/>
      <c r="L93" s="427"/>
      <c r="P93" s="394">
        <f>Sources!C46</f>
        <v>0</v>
      </c>
      <c r="R93" s="427"/>
      <c r="S93" s="427"/>
      <c r="T93" s="456">
        <f>SUM(H93:S93)</f>
        <v>0</v>
      </c>
      <c r="X93" s="1119"/>
      <c r="Y93" s="1119"/>
      <c r="Z93" s="1119"/>
      <c r="AA93" s="1119"/>
      <c r="AB93" s="1119"/>
      <c r="AC93" s="1119"/>
      <c r="AD93" s="1119"/>
    </row>
    <row r="94" spans="1:30" x14ac:dyDescent="0.2">
      <c r="B94" s="1358" t="str">
        <f t="shared" si="15"/>
        <v xml:space="preserve">TIF Loan* - </v>
      </c>
      <c r="C94" s="402"/>
      <c r="D94" s="394" t="str">
        <f>IF(Sources!B19="",IF(Sources!B47="","",Sources!B47),Sources!B19)</f>
        <v>TIF Loan*</v>
      </c>
      <c r="E94" s="394"/>
      <c r="F94" s="1318"/>
      <c r="G94" s="394">
        <f>Sources!C19-SUM(I94:L94)</f>
        <v>0</v>
      </c>
      <c r="H94" s="394"/>
      <c r="I94" s="394"/>
      <c r="J94" s="427"/>
      <c r="K94" s="427"/>
      <c r="L94" s="427"/>
      <c r="P94" s="394">
        <f>Sources!C47</f>
        <v>0</v>
      </c>
      <c r="R94" s="427"/>
      <c r="S94" s="427"/>
      <c r="T94" s="456">
        <f t="shared" ref="T94:T99" si="16">SUM(G94:S94)</f>
        <v>0</v>
      </c>
      <c r="X94" s="1119"/>
      <c r="Y94" s="1119" t="s">
        <v>1105</v>
      </c>
      <c r="Z94" s="1119" t="s">
        <v>1106</v>
      </c>
      <c r="AA94" s="1119"/>
      <c r="AB94" s="1119"/>
      <c r="AC94" s="1119"/>
      <c r="AD94" s="1119"/>
    </row>
    <row r="95" spans="1:30" x14ac:dyDescent="0.2">
      <c r="B95" s="1358" t="str">
        <f t="shared" si="15"/>
        <v xml:space="preserve"> - </v>
      </c>
      <c r="C95" s="426" t="str">
        <f>Sources!B48</f>
        <v xml:space="preserve"> </v>
      </c>
      <c r="D95" s="394"/>
      <c r="E95" s="394"/>
      <c r="F95" s="1318"/>
      <c r="G95" s="394">
        <v>0</v>
      </c>
      <c r="H95" s="394"/>
      <c r="I95" s="394"/>
      <c r="J95" s="427"/>
      <c r="K95" s="427"/>
      <c r="L95" s="427"/>
      <c r="P95" s="394">
        <f>Sources!C48</f>
        <v>0</v>
      </c>
      <c r="R95" s="427"/>
      <c r="S95" s="427"/>
      <c r="T95" s="456">
        <f t="shared" si="16"/>
        <v>0</v>
      </c>
      <c r="X95" s="1119" t="s">
        <v>358</v>
      </c>
      <c r="Y95" s="1122">
        <f>$G$80</f>
        <v>0</v>
      </c>
      <c r="Z95" s="1122">
        <f>Y95</f>
        <v>0</v>
      </c>
      <c r="AA95" s="1119"/>
      <c r="AB95" s="1119"/>
      <c r="AC95" s="1119"/>
      <c r="AD95" s="1119"/>
    </row>
    <row r="96" spans="1:30" x14ac:dyDescent="0.2">
      <c r="B96" s="1358" t="str">
        <f t="shared" si="15"/>
        <v xml:space="preserve"> - </v>
      </c>
      <c r="C96" s="426" t="str">
        <f>Sources!B49</f>
        <v xml:space="preserve"> </v>
      </c>
      <c r="D96" s="394"/>
      <c r="E96" s="394"/>
      <c r="F96" s="1318"/>
      <c r="G96" s="394">
        <v>0</v>
      </c>
      <c r="H96" s="394"/>
      <c r="I96" s="394"/>
      <c r="J96" s="427"/>
      <c r="K96" s="427"/>
      <c r="L96" s="427"/>
      <c r="P96" s="394">
        <f>Sources!C49</f>
        <v>0</v>
      </c>
      <c r="R96" s="427"/>
      <c r="S96" s="427"/>
      <c r="T96" s="456">
        <f t="shared" si="16"/>
        <v>0</v>
      </c>
      <c r="X96" s="1119">
        <v>1</v>
      </c>
      <c r="Y96" s="1122">
        <f ca="1">IF(OR(X96&lt;$Z$92,X96=$Z$92),$I$80/$Z$92,IF(OR(X96&lt;$Z$92*2,X96=$Z$92*2),$J$80/$Z$92,IF(OR(X96&lt;$Z$92*3,X96=$Z$92*3),$K$80/$Z$92,IF(OR(X96&lt;$Z$92*4,X96=$Z$92*4),$L$80/$Z$92,IF(X96=$Y$92+1,$T$80-SUM(Y95:$Y$95),0)))))</f>
        <v>0</v>
      </c>
      <c r="Z96" s="1122">
        <f t="shared" ref="Z96:Z123" ca="1" si="17">Z95+Y96</f>
        <v>0</v>
      </c>
      <c r="AA96" s="1123">
        <f t="shared" ref="AA96:AA123" si="18">Z95*$AA$92/12</f>
        <v>0</v>
      </c>
      <c r="AB96" s="1122">
        <f>AB95+AA96</f>
        <v>0</v>
      </c>
      <c r="AC96" s="1121" t="e">
        <f ca="1">IF(X96=ROUND($Z$92,),ROUND(AB96-$AB$95,),IF(X96=ROUND($Z$92*2,),ROUND(AB96-VLOOKUP(ROUND($Z$92,),$X$95:$AB$124,5,FALSE),),IF(X96=ROUND($Z$92*3,),ROUND(AB96-VLOOKUP(ROUND($Z$92*2,),$X$95:$AB$124,5,FALSE),),IF(X96=ROUND($Z$92*4,),ROUND(AB96-VLOOKUP(ROUND($Z$92*3,),$X$95:$AB$124,5,FALSE),),IF(X96=ROUND($Z$92*4,)+$AC$92,ROUND(AB96-VLOOKUP(ROUND($Z$92*4,),$X$95:$AB$124,5,FALSE),),)))))/(VLOOKUP($Y$92+1,$X$95:$AB$124,5,FALSE)+((VLOOKUP($Y$92+1,$X$95:$AB$124,4,FALSE))*($AC$92-1)))</f>
        <v>#DIV/0!</v>
      </c>
      <c r="AD96" s="1124" t="str">
        <f t="shared" ref="AD96:AD123" ca="1" si="19">IF(X96=$Y$92+$AC$92,$T$80*$AD$92*($AA$92/12)*($Y$92+$AC$92),"")</f>
        <v/>
      </c>
    </row>
    <row r="97" spans="2:30" x14ac:dyDescent="0.2">
      <c r="B97" s="1358" t="str">
        <f t="shared" si="15"/>
        <v xml:space="preserve">Grant* - </v>
      </c>
      <c r="C97" s="402"/>
      <c r="D97" s="394" t="str">
        <f>IF(Sources!B15="",IF(Sources!B51="","",Sources!B51),Sources!B15)</f>
        <v>Grant*</v>
      </c>
      <c r="E97" s="394"/>
      <c r="F97" s="1318"/>
      <c r="G97" s="95">
        <f>Sources!C15</f>
        <v>0</v>
      </c>
      <c r="H97" s="394"/>
      <c r="I97" s="394"/>
      <c r="J97" s="427"/>
      <c r="K97" s="427"/>
      <c r="L97" s="427"/>
      <c r="P97" s="394">
        <f>Sources!C51</f>
        <v>0</v>
      </c>
      <c r="R97" s="427"/>
      <c r="S97" s="427"/>
      <c r="T97" s="456">
        <f t="shared" si="16"/>
        <v>0</v>
      </c>
      <c r="X97" s="1119">
        <v>2</v>
      </c>
      <c r="Y97" s="1122">
        <f ca="1">IF(OR(X97&lt;$Z$92,X97=$Z$92),$I$80/$Z$92,IF(OR(X97&lt;$Z$92*2,X97=$Z$92*2),$J$80/$Z$92,IF(OR(X97&lt;$Z$92*3,X97=$Z$92*3),$K$80/$Z$92,IF(OR(X97&lt;$Z$92*4,X97=$Z$92*4),$L$80/$Z$92,IF(X97=$Y$92+1,$T$80-SUM(Y$95:$Y96),0)))))</f>
        <v>0</v>
      </c>
      <c r="Z97" s="1122">
        <f t="shared" ca="1" si="17"/>
        <v>0</v>
      </c>
      <c r="AA97" s="1123">
        <f t="shared" ca="1" si="18"/>
        <v>0</v>
      </c>
      <c r="AB97" s="1122">
        <f t="shared" ref="AB97:AB108" ca="1" si="20">AB96+AA97</f>
        <v>0</v>
      </c>
      <c r="AC97" s="1121" t="e">
        <f t="shared" ref="AC97:AC123" ca="1" si="21">IF(X97=ROUND($Z$92,),ROUND(AB97-$AB$95,),IF(X97=ROUND($Z$92*2,),ROUND(AB97-VLOOKUP(ROUND($Z$92,),$X$95:$AB$124,5,FALSE),),IF(X97=ROUND($Z$92*3,),ROUND(AB97-VLOOKUP(ROUND($Z$92*2,),$X$95:$AB$124,5,FALSE),),IF(X97=ROUND($Z$92*4,),ROUND(AB97-VLOOKUP(ROUND($Z$92*3,),$X$95:$AB$124,5,FALSE),),IF(X97=ROUND($Z$92*4,)+$AC$92,ROUND(AB97-VLOOKUP(ROUND($Z$92*4,),$X$95:$AB$124,5,FALSE),),)))))/(VLOOKUP($Y$92+1,$X$95:$AB$124,5,FALSE)+((VLOOKUP($Y$92+1,$X$95:$AB$124,4,FALSE))*($AC$92-1)))</f>
        <v>#DIV/0!</v>
      </c>
      <c r="AD97" s="1124" t="str">
        <f t="shared" ca="1" si="19"/>
        <v/>
      </c>
    </row>
    <row r="98" spans="2:30" x14ac:dyDescent="0.2">
      <c r="B98" s="1358" t="str">
        <f t="shared" si="15"/>
        <v xml:space="preserve">General Partner (or Affiliate) Loan - </v>
      </c>
      <c r="C98" s="402"/>
      <c r="D98" s="394" t="str">
        <f>Sources!B53</f>
        <v>General Partner (or Affiliate) Loan</v>
      </c>
      <c r="E98" s="394"/>
      <c r="F98" s="1318"/>
      <c r="G98" s="394">
        <f>Sources!C23-G81</f>
        <v>0</v>
      </c>
      <c r="H98" s="394"/>
      <c r="I98" s="394"/>
      <c r="J98" s="427"/>
      <c r="K98" s="427"/>
      <c r="L98" s="427"/>
      <c r="P98" s="394">
        <f>Sources!C53</f>
        <v>0</v>
      </c>
      <c r="R98" s="427"/>
      <c r="S98" s="427"/>
      <c r="T98" s="456">
        <f t="shared" si="16"/>
        <v>0</v>
      </c>
      <c r="X98" s="1119">
        <v>3</v>
      </c>
      <c r="Y98" s="1122">
        <f ca="1">IF(OR(X98&lt;$Z$92,X98=$Z$92),$I$80/$Z$92,IF(OR(X98&lt;$Z$92*2,X98=$Z$92*2),$J$80/$Z$92,IF(OR(X98&lt;$Z$92*3,X98=$Z$92*3),$K$80/$Z$92,IF(OR(X98&lt;$Z$92*4,X98=$Z$92*4),$L$80/$Z$92,IF(X98=$Y$92+1,$T$80-SUM(Y$95:$Y97),0)))))</f>
        <v>0</v>
      </c>
      <c r="Z98" s="1122">
        <f t="shared" ca="1" si="17"/>
        <v>0</v>
      </c>
      <c r="AA98" s="1123">
        <f t="shared" ca="1" si="18"/>
        <v>0</v>
      </c>
      <c r="AB98" s="1122">
        <f t="shared" ca="1" si="20"/>
        <v>0</v>
      </c>
      <c r="AC98" s="1121" t="e">
        <f t="shared" ca="1" si="21"/>
        <v>#DIV/0!</v>
      </c>
      <c r="AD98" s="1124" t="str">
        <f t="shared" ca="1" si="19"/>
        <v/>
      </c>
    </row>
    <row r="99" spans="2:30" x14ac:dyDescent="0.2">
      <c r="B99" s="1358" t="str">
        <f t="shared" si="15"/>
        <v xml:space="preserve">Deferred Developer Fee - </v>
      </c>
      <c r="C99" s="402"/>
      <c r="D99" s="394" t="str">
        <f>Sources!B54</f>
        <v>Deferred Developer Fee</v>
      </c>
      <c r="E99" s="394"/>
      <c r="F99" s="1318"/>
      <c r="G99" s="394"/>
      <c r="H99" s="394"/>
      <c r="I99" s="394"/>
      <c r="J99" s="427"/>
      <c r="K99" s="427"/>
      <c r="L99" s="427"/>
      <c r="P99" s="394">
        <f>Sources!C54</f>
        <v>0</v>
      </c>
      <c r="R99" s="427"/>
      <c r="S99" s="427"/>
      <c r="T99" s="456">
        <f t="shared" si="16"/>
        <v>0</v>
      </c>
      <c r="X99" s="1119">
        <v>4</v>
      </c>
      <c r="Y99" s="1122">
        <f ca="1">IF(OR(X99&lt;$Z$92,X99=$Z$92),$I$80/$Z$92,IF(OR(X99&lt;$Z$92*2,X99=$Z$92*2),$J$80/$Z$92,IF(OR(X99&lt;$Z$92*3,X99=$Z$92*3),$K$80/$Z$92,IF(OR(X99&lt;$Z$92*4,X99=$Z$92*4),$L$80/$Z$92,IF(X99=$Y$92+1,$T$80-SUM(Y$95:$Y98),0)))))</f>
        <v>0</v>
      </c>
      <c r="Z99" s="1122">
        <f t="shared" ca="1" si="17"/>
        <v>0</v>
      </c>
      <c r="AA99" s="1123">
        <f t="shared" ca="1" si="18"/>
        <v>0</v>
      </c>
      <c r="AB99" s="1122">
        <f t="shared" ca="1" si="20"/>
        <v>0</v>
      </c>
      <c r="AC99" s="1121" t="e">
        <f t="shared" ca="1" si="21"/>
        <v>#DIV/0!</v>
      </c>
      <c r="AD99" s="1124" t="str">
        <f t="shared" ca="1" si="19"/>
        <v/>
      </c>
    </row>
    <row r="100" spans="2:30" x14ac:dyDescent="0.2">
      <c r="C100" s="432" t="s">
        <v>350</v>
      </c>
      <c r="D100" s="433"/>
      <c r="E100" s="433"/>
      <c r="F100" s="394"/>
      <c r="G100" s="394">
        <f>SUM(G76:G99)</f>
        <v>0</v>
      </c>
      <c r="H100" s="394"/>
      <c r="I100" s="394">
        <f>SUM(I76:I99)</f>
        <v>0</v>
      </c>
      <c r="J100" s="394">
        <f>SUM(J76:J99)</f>
        <v>0</v>
      </c>
      <c r="K100" s="394">
        <f>SUM(K76:K99)</f>
        <v>0</v>
      </c>
      <c r="L100" s="394">
        <f>SUM(L76:L99)</f>
        <v>0</v>
      </c>
      <c r="P100" s="394">
        <f>SUM(P76:P99)</f>
        <v>0</v>
      </c>
      <c r="R100" s="394">
        <f>SUM(R76:R99)</f>
        <v>0</v>
      </c>
      <c r="S100" s="394">
        <f>SUM(S76:S99)</f>
        <v>0</v>
      </c>
      <c r="T100" s="456">
        <f>SUM(T78:T99)</f>
        <v>0</v>
      </c>
      <c r="X100" s="1119">
        <v>5</v>
      </c>
      <c r="Y100" s="1122">
        <f ca="1">IF(OR(X100&lt;$Z$92,X100=$Z$92),$I$80/$Z$92,IF(OR(X100&lt;$Z$92*2,X100=$Z$92*2),$J$80/$Z$92,IF(OR(X100&lt;$Z$92*3,X100=$Z$92*3),$K$80/$Z$92,IF(OR(X100&lt;$Z$92*4,X100=$Z$92*4),$L$80/$Z$92,IF(X100=$Y$92+1,$T$80-SUM(Y$95:$Y99),0)))))</f>
        <v>0</v>
      </c>
      <c r="Z100" s="1122">
        <f t="shared" ca="1" si="17"/>
        <v>0</v>
      </c>
      <c r="AA100" s="1123">
        <f t="shared" ca="1" si="18"/>
        <v>0</v>
      </c>
      <c r="AB100" s="1122">
        <f t="shared" ca="1" si="20"/>
        <v>0</v>
      </c>
      <c r="AC100" s="1121" t="e">
        <f t="shared" ca="1" si="21"/>
        <v>#DIV/0!</v>
      </c>
      <c r="AD100" s="1124" t="str">
        <f t="shared" ca="1" si="19"/>
        <v/>
      </c>
    </row>
    <row r="101" spans="2:30" x14ac:dyDescent="0.2">
      <c r="C101" s="426"/>
      <c r="D101" s="394"/>
      <c r="E101" s="394"/>
      <c r="F101" s="394"/>
      <c r="G101" s="394"/>
      <c r="H101" s="394"/>
      <c r="I101" s="394"/>
      <c r="J101" s="427"/>
      <c r="K101" s="427"/>
      <c r="L101" s="427"/>
      <c r="P101" s="394"/>
      <c r="R101" s="427"/>
      <c r="S101" s="427"/>
      <c r="T101" s="456"/>
      <c r="X101" s="1119">
        <v>6</v>
      </c>
      <c r="Y101" s="1122">
        <f ca="1">IF(OR(X101&lt;$Z$92,X101=$Z$92),$I$80/$Z$92,IF(OR(X101&lt;$Z$92*2,X101=$Z$92*2),$J$80/$Z$92,IF(OR(X101&lt;$Z$92*3,X101=$Z$92*3),$K$80/$Z$92,IF(OR(X101&lt;$Z$92*4,X101=$Z$92*4),$L$80/$Z$92,IF(X101=$Y$92+1,$T$80-SUM(Y$95:$Y100),0)))))</f>
        <v>0</v>
      </c>
      <c r="Z101" s="1122">
        <f t="shared" ca="1" si="17"/>
        <v>0</v>
      </c>
      <c r="AA101" s="1123">
        <f t="shared" ca="1" si="18"/>
        <v>0</v>
      </c>
      <c r="AB101" s="1122">
        <f t="shared" ca="1" si="20"/>
        <v>0</v>
      </c>
      <c r="AC101" s="1121" t="e">
        <f t="shared" ca="1" si="21"/>
        <v>#DIV/0!</v>
      </c>
      <c r="AD101" s="1124" t="str">
        <f t="shared" ca="1" si="19"/>
        <v/>
      </c>
    </row>
    <row r="102" spans="2:30" x14ac:dyDescent="0.2">
      <c r="C102" s="445" t="s">
        <v>349</v>
      </c>
      <c r="D102" s="433"/>
      <c r="E102" s="433"/>
      <c r="F102" s="394"/>
      <c r="G102" s="394"/>
      <c r="H102" s="394"/>
      <c r="I102" s="394"/>
      <c r="J102" s="427"/>
      <c r="K102" s="427"/>
      <c r="L102" s="427"/>
      <c r="P102" s="394"/>
      <c r="R102" s="427"/>
      <c r="S102" s="427"/>
      <c r="T102" s="456"/>
      <c r="X102" s="1119">
        <v>7</v>
      </c>
      <c r="Y102" s="1122">
        <f ca="1">IF(OR(X102&lt;$Z$92,X102=$Z$92),$I$80/$Z$92,IF(OR(X102&lt;$Z$92*2,X102=$Z$92*2),$J$80/$Z$92,IF(OR(X102&lt;$Z$92*3,X102=$Z$92*3),$K$80/$Z$92,IF(OR(X102&lt;$Z$92*4,X102=$Z$92*4),$L$80/$Z$92,IF(X102=$Y$92+1,$T$80-SUM(Y$95:$Y101),0)))))</f>
        <v>0</v>
      </c>
      <c r="Z102" s="1122">
        <f t="shared" ca="1" si="17"/>
        <v>0</v>
      </c>
      <c r="AA102" s="1123">
        <f t="shared" ca="1" si="18"/>
        <v>0</v>
      </c>
      <c r="AB102" s="1122">
        <f t="shared" ca="1" si="20"/>
        <v>0</v>
      </c>
      <c r="AC102" s="1121" t="e">
        <f t="shared" ca="1" si="21"/>
        <v>#DIV/0!</v>
      </c>
      <c r="AD102" s="1124" t="str">
        <f t="shared" ca="1" si="19"/>
        <v/>
      </c>
    </row>
    <row r="103" spans="2:30" x14ac:dyDescent="0.2">
      <c r="C103" s="432"/>
      <c r="D103" s="433"/>
      <c r="E103" s="433"/>
      <c r="F103" s="394"/>
      <c r="G103" s="394"/>
      <c r="H103" s="394"/>
      <c r="I103" s="394"/>
      <c r="J103" s="427"/>
      <c r="K103" s="427"/>
      <c r="L103" s="427"/>
      <c r="P103" s="394"/>
      <c r="R103" s="427"/>
      <c r="S103" s="427"/>
      <c r="T103" s="456"/>
      <c r="X103" s="1119">
        <v>8</v>
      </c>
      <c r="Y103" s="1122">
        <f ca="1">IF(OR(X103&lt;$Z$92,X103=$Z$92),$I$80/$Z$92,IF(OR(X103&lt;$Z$92*2,X103=$Z$92*2),$J$80/$Z$92,IF(OR(X103&lt;$Z$92*3,X103=$Z$92*3),$K$80/$Z$92,IF(OR(X103&lt;$Z$92*4,X103=$Z$92*4),$L$80/$Z$92,IF(X103=$Y$92+1,$T$80-SUM(Y$95:$Y102),0)))))</f>
        <v>0</v>
      </c>
      <c r="Z103" s="1122">
        <f t="shared" ca="1" si="17"/>
        <v>0</v>
      </c>
      <c r="AA103" s="1123">
        <f t="shared" ca="1" si="18"/>
        <v>0</v>
      </c>
      <c r="AB103" s="1122">
        <f t="shared" ca="1" si="20"/>
        <v>0</v>
      </c>
      <c r="AC103" s="1121" t="e">
        <f t="shared" ca="1" si="21"/>
        <v>#DIV/0!</v>
      </c>
      <c r="AD103" s="1124" t="str">
        <f t="shared" ca="1" si="19"/>
        <v/>
      </c>
    </row>
    <row r="104" spans="2:30" x14ac:dyDescent="0.2">
      <c r="C104" s="426" t="s">
        <v>118</v>
      </c>
      <c r="D104" s="394"/>
      <c r="E104" s="394"/>
      <c r="F104" s="394"/>
      <c r="G104" s="394">
        <f>H55</f>
        <v>0</v>
      </c>
      <c r="H104" s="394"/>
      <c r="I104" s="394"/>
      <c r="J104" s="427"/>
      <c r="K104" s="427"/>
      <c r="L104" s="427"/>
      <c r="P104" s="394"/>
      <c r="R104" s="427"/>
      <c r="S104" s="427"/>
      <c r="T104" s="456">
        <f t="shared" ref="T104:T110" si="22">SUM(G104:S104)</f>
        <v>0</v>
      </c>
      <c r="X104" s="1119">
        <v>9</v>
      </c>
      <c r="Y104" s="1122">
        <f ca="1">IF(OR(X104&lt;$Z$92,X104=$Z$92),$I$80/$Z$92,IF(OR(X104&lt;$Z$92*2,X104=$Z$92*2),$J$80/$Z$92,IF(OR(X104&lt;$Z$92*3,X104=$Z$92*3),$K$80/$Z$92,IF(OR(X104&lt;$Z$92*4,X104=$Z$92*4),$L$80/$Z$92,IF(X104=$Y$92+1,$T$80-SUM(Y$95:$Y103),0)))))</f>
        <v>0</v>
      </c>
      <c r="Z104" s="1122">
        <f t="shared" ca="1" si="17"/>
        <v>0</v>
      </c>
      <c r="AA104" s="1123">
        <f t="shared" ca="1" si="18"/>
        <v>0</v>
      </c>
      <c r="AB104" s="1122">
        <f t="shared" ca="1" si="20"/>
        <v>0</v>
      </c>
      <c r="AC104" s="1121" t="e">
        <f t="shared" ca="1" si="21"/>
        <v>#DIV/0!</v>
      </c>
      <c r="AD104" s="1124" t="str">
        <f t="shared" ca="1" si="19"/>
        <v/>
      </c>
    </row>
    <row r="105" spans="2:30" x14ac:dyDescent="0.2">
      <c r="C105" s="426" t="s">
        <v>348</v>
      </c>
      <c r="D105" s="394"/>
      <c r="E105" s="394"/>
      <c r="F105" s="394"/>
      <c r="G105" s="394"/>
      <c r="H105" s="394"/>
      <c r="I105" s="394">
        <f>$H$21/4</f>
        <v>0</v>
      </c>
      <c r="J105" s="394">
        <f>$H$21/4</f>
        <v>0</v>
      </c>
      <c r="K105" s="394">
        <f>$H$21/4</f>
        <v>0</v>
      </c>
      <c r="L105" s="394">
        <f>$H$21/4</f>
        <v>0</v>
      </c>
      <c r="P105" s="394"/>
      <c r="R105" s="427"/>
      <c r="S105" s="427"/>
      <c r="T105" s="456">
        <f t="shared" si="22"/>
        <v>0</v>
      </c>
      <c r="X105" s="1119">
        <v>10</v>
      </c>
      <c r="Y105" s="1122">
        <f ca="1">IF(OR(X105&lt;$Z$92,X105=$Z$92),$I$80/$Z$92,IF(OR(X105&lt;$Z$92*2,X105=$Z$92*2),$J$80/$Z$92,IF(OR(X105&lt;$Z$92*3,X105=$Z$92*3),$K$80/$Z$92,IF(OR(X105&lt;$Z$92*4,X105=$Z$92*4),$L$80/$Z$92,IF(X105=$Y$92+1,$T$80-SUM(Y$95:$Y104),0)))))</f>
        <v>0</v>
      </c>
      <c r="Z105" s="1122">
        <f t="shared" ca="1" si="17"/>
        <v>0</v>
      </c>
      <c r="AA105" s="1123">
        <f t="shared" ca="1" si="18"/>
        <v>0</v>
      </c>
      <c r="AB105" s="1122">
        <f t="shared" ca="1" si="20"/>
        <v>0</v>
      </c>
      <c r="AC105" s="1121" t="e">
        <f t="shared" ca="1" si="21"/>
        <v>#DIV/0!</v>
      </c>
      <c r="AD105" s="1124" t="str">
        <f t="shared" ca="1" si="19"/>
        <v/>
      </c>
    </row>
    <row r="106" spans="2:30" x14ac:dyDescent="0.2">
      <c r="C106" s="426" t="s">
        <v>347</v>
      </c>
      <c r="D106" s="394"/>
      <c r="E106" s="394"/>
      <c r="F106" s="394"/>
      <c r="G106" s="394">
        <f>H32-SUM(I106:S106)</f>
        <v>0</v>
      </c>
      <c r="H106" s="394"/>
      <c r="I106" s="394">
        <f>IF($P32=0,0,10000)</f>
        <v>0</v>
      </c>
      <c r="J106" s="394">
        <f>IF($P32=0,0,10000)</f>
        <v>0</v>
      </c>
      <c r="K106" s="394">
        <f>IF($P32=0,0,10000)</f>
        <v>0</v>
      </c>
      <c r="L106" s="394">
        <f>IF($P32=0,0,10000)</f>
        <v>0</v>
      </c>
      <c r="P106" s="427">
        <f>IF(P$32=0,0,H28+10000)</f>
        <v>0</v>
      </c>
      <c r="R106" s="427"/>
      <c r="S106" s="427"/>
      <c r="T106" s="456">
        <f t="shared" si="22"/>
        <v>0</v>
      </c>
      <c r="X106" s="1119">
        <v>11</v>
      </c>
      <c r="Y106" s="1122">
        <f ca="1">IF(OR(X106&lt;$Z$92,X106=$Z$92),$I$80/$Z$92,IF(OR(X106&lt;$Z$92*2,X106=$Z$92*2),$J$80/$Z$92,IF(OR(X106&lt;$Z$92*3,X106=$Z$92*3),$K$80/$Z$92,IF(OR(X106&lt;$Z$92*4,X106=$Z$92*4),$L$80/$Z$92,IF(X106=$Y$92+1,$T$80-SUM(Y$95:$Y105),0)))))</f>
        <v>0</v>
      </c>
      <c r="Z106" s="1122">
        <f t="shared" ca="1" si="17"/>
        <v>0</v>
      </c>
      <c r="AA106" s="1123">
        <f t="shared" ca="1" si="18"/>
        <v>0</v>
      </c>
      <c r="AB106" s="1122">
        <f t="shared" ca="1" si="20"/>
        <v>0</v>
      </c>
      <c r="AC106" s="1121" t="e">
        <f t="shared" ca="1" si="21"/>
        <v>#DIV/0!</v>
      </c>
      <c r="AD106" s="1124" t="str">
        <f t="shared" ca="1" si="19"/>
        <v/>
      </c>
    </row>
    <row r="107" spans="2:30" x14ac:dyDescent="0.2">
      <c r="C107" s="426" t="s">
        <v>346</v>
      </c>
      <c r="D107" s="394"/>
      <c r="E107" s="394"/>
      <c r="F107" s="394"/>
      <c r="G107" s="394">
        <f>H39-SUM(I107:S107)</f>
        <v>0</v>
      </c>
      <c r="H107" s="394"/>
      <c r="I107" s="394">
        <f>$P$35*0.04</f>
        <v>0</v>
      </c>
      <c r="J107" s="394">
        <f>$P$35*0.12</f>
        <v>0</v>
      </c>
      <c r="K107" s="394">
        <f>$P$35*0.22</f>
        <v>0</v>
      </c>
      <c r="L107" s="394">
        <f>$P$35*0.34</f>
        <v>0</v>
      </c>
      <c r="P107" s="394">
        <f>$P$35*0.28</f>
        <v>0</v>
      </c>
      <c r="R107" s="427"/>
      <c r="S107" s="427">
        <f>IF(S114&gt;0,S79-S114,0)</f>
        <v>0</v>
      </c>
      <c r="T107" s="456">
        <f>SUM(G107:S107)</f>
        <v>0</v>
      </c>
      <c r="X107" s="1119">
        <v>12</v>
      </c>
      <c r="Y107" s="1122">
        <f ca="1">IF(OR(X107&lt;$Z$92,X107=$Z$92),$I$80/$Z$92,IF(OR(X107&lt;$Z$92*2,X107=$Z$92*2),$J$80/$Z$92,IF(OR(X107&lt;$Z$92*3,X107=$Z$92*3),$K$80/$Z$92,IF(OR(X107&lt;$Z$92*4,X107=$Z$92*4),$L$80/$Z$92,IF(X107=$Y$92+1,$T$80-SUM(Y$95:$Y106),0)))))</f>
        <v>0</v>
      </c>
      <c r="Z107" s="1122">
        <f t="shared" ca="1" si="17"/>
        <v>0</v>
      </c>
      <c r="AA107" s="1123">
        <f t="shared" ca="1" si="18"/>
        <v>0</v>
      </c>
      <c r="AB107" s="1122">
        <f t="shared" ca="1" si="20"/>
        <v>0</v>
      </c>
      <c r="AC107" s="1121" t="e">
        <f t="shared" ca="1" si="21"/>
        <v>#DIV/0!</v>
      </c>
      <c r="AD107" s="1124">
        <f t="shared" ca="1" si="19"/>
        <v>0</v>
      </c>
    </row>
    <row r="108" spans="2:30" x14ac:dyDescent="0.2">
      <c r="C108" s="426" t="s">
        <v>345</v>
      </c>
      <c r="D108" s="394"/>
      <c r="E108" s="394"/>
      <c r="F108" s="394"/>
      <c r="G108" s="394">
        <f>H48+H65-SUM(I108:S108)</f>
        <v>0</v>
      </c>
      <c r="H108" s="394"/>
      <c r="I108" s="394"/>
      <c r="J108" s="427"/>
      <c r="K108" s="427"/>
      <c r="L108" s="427"/>
      <c r="P108" s="427">
        <f>+'Tax Credit Calculations'!W31*1000</f>
        <v>0</v>
      </c>
      <c r="R108" s="427"/>
      <c r="S108" s="427"/>
      <c r="T108" s="456">
        <f t="shared" si="22"/>
        <v>0</v>
      </c>
      <c r="X108" s="1119">
        <v>13</v>
      </c>
      <c r="Y108" s="1122">
        <f ca="1">IF(OR(X108&lt;$Z$92,X108=$Z$92),$I$80/$Z$92,IF(OR(X108&lt;$Z$92*2,X108=$Z$92*2),$J$80/$Z$92,IF(OR(X108&lt;$Z$92*3,X108=$Z$92*3),$K$80/$Z$92,IF(OR(X108&lt;$Z$92*4,X108=$Z$92*4),$L$80/$Z$92,IF(X108=$Y$92+1,$T$80-SUM(Y$95:$Y107),0)))))</f>
        <v>0</v>
      </c>
      <c r="Z108" s="1122">
        <f t="shared" ca="1" si="17"/>
        <v>0</v>
      </c>
      <c r="AA108" s="1123">
        <f t="shared" ca="1" si="18"/>
        <v>0</v>
      </c>
      <c r="AB108" s="1122">
        <f t="shared" ca="1" si="20"/>
        <v>0</v>
      </c>
      <c r="AC108" s="1121" t="e">
        <f t="shared" ca="1" si="21"/>
        <v>#DIV/0!</v>
      </c>
      <c r="AD108" s="1124" t="str">
        <f t="shared" ca="1" si="19"/>
        <v/>
      </c>
    </row>
    <row r="109" spans="2:30" x14ac:dyDescent="0.2">
      <c r="C109" s="426" t="s">
        <v>344</v>
      </c>
      <c r="D109" s="394"/>
      <c r="E109" s="394"/>
      <c r="F109" s="433" t="s">
        <v>41</v>
      </c>
      <c r="G109" s="394">
        <f>H62</f>
        <v>0</v>
      </c>
      <c r="H109" s="394"/>
      <c r="I109" s="394"/>
      <c r="J109" s="394"/>
      <c r="K109" s="394"/>
      <c r="L109" s="394"/>
      <c r="P109" s="394">
        <f>($H$62+$H$63+$H$64)-SUM(G109:L109)-R109-S109</f>
        <v>0</v>
      </c>
      <c r="R109" s="427">
        <f>R78-SUM(R104:R108)-R110-R117</f>
        <v>0</v>
      </c>
      <c r="S109" s="427">
        <f>S78+S79-SUM(S104:S108)-S110-S117</f>
        <v>0</v>
      </c>
      <c r="T109" s="456">
        <f t="shared" si="22"/>
        <v>0</v>
      </c>
      <c r="U109" s="405"/>
      <c r="X109" s="1119">
        <v>14</v>
      </c>
      <c r="Y109" s="1122">
        <f ca="1">IF(OR(X109&lt;$Z$92,X109=$Z$92),$I$80/$Z$92,IF(OR(X109&lt;$Z$92*2,X109=$Z$92*2),$J$80/$Z$92,IF(OR(X109&lt;$Z$92*3,X109=$Z$92*3),$K$80/$Z$92,IF(OR(X109&lt;$Z$92*4,X109=$Z$92*4),$L$80/$Z$92,IF(X109=$Y$92+1,$T$80-SUM(Y$95:$Y108),0)))))</f>
        <v>0</v>
      </c>
      <c r="Z109" s="1122">
        <f t="shared" ca="1" si="17"/>
        <v>0</v>
      </c>
      <c r="AA109" s="1123">
        <f t="shared" ca="1" si="18"/>
        <v>0</v>
      </c>
      <c r="AB109" s="1122">
        <f ca="1">AB108+AA109</f>
        <v>0</v>
      </c>
      <c r="AC109" s="1121" t="e">
        <f t="shared" ca="1" si="21"/>
        <v>#DIV/0!</v>
      </c>
      <c r="AD109" s="1124" t="str">
        <f t="shared" ca="1" si="19"/>
        <v/>
      </c>
    </row>
    <row r="110" spans="2:30" x14ac:dyDescent="0.2">
      <c r="C110" s="426" t="s">
        <v>343</v>
      </c>
      <c r="D110" s="394"/>
      <c r="E110" s="394"/>
      <c r="F110" s="394"/>
      <c r="G110" s="394"/>
      <c r="H110" s="394"/>
      <c r="I110" s="394"/>
      <c r="J110" s="427"/>
      <c r="K110" s="427"/>
      <c r="L110" s="427">
        <f>H60</f>
        <v>0</v>
      </c>
      <c r="P110" s="394">
        <f>H57+H58+H59</f>
        <v>0</v>
      </c>
      <c r="R110" s="427"/>
      <c r="S110" s="427"/>
      <c r="T110" s="456">
        <f t="shared" si="22"/>
        <v>0</v>
      </c>
      <c r="U110" s="405"/>
      <c r="X110" s="1119">
        <v>15</v>
      </c>
      <c r="Y110" s="1122">
        <f ca="1">IF(OR(X110&lt;$Z$92,X110=$Z$92),$I$80/$Z$92,IF(OR(X110&lt;$Z$92*2,X110=$Z$92*2),$J$80/$Z$92,IF(OR(X110&lt;$Z$92*3,X110=$Z$92*3),$K$80/$Z$92,IF(OR(X110&lt;$Z$92*4,X110=$Z$92*4),$L$80/$Z$92,IF(X110=$Y$92+1,$T$80-SUM(Y$95:$Y109),0)))))</f>
        <v>0</v>
      </c>
      <c r="Z110" s="1122">
        <f t="shared" ca="1" si="17"/>
        <v>0</v>
      </c>
      <c r="AA110" s="1123">
        <f t="shared" ca="1" si="18"/>
        <v>0</v>
      </c>
      <c r="AB110" s="1122">
        <f ca="1">AB109+AA110</f>
        <v>0</v>
      </c>
      <c r="AC110" s="1121" t="e">
        <f t="shared" ca="1" si="21"/>
        <v>#DIV/0!</v>
      </c>
      <c r="AD110" s="1124" t="str">
        <f t="shared" ca="1" si="19"/>
        <v/>
      </c>
    </row>
    <row r="111" spans="2:30" x14ac:dyDescent="0.2">
      <c r="C111" s="432" t="s">
        <v>342</v>
      </c>
      <c r="D111" s="433"/>
      <c r="E111" s="433"/>
      <c r="F111" s="394"/>
      <c r="G111" s="394">
        <f>SUM(G104:G110)</f>
        <v>0</v>
      </c>
      <c r="H111" s="394"/>
      <c r="I111" s="394">
        <f>SUM(I104:I110)</f>
        <v>0</v>
      </c>
      <c r="J111" s="394">
        <f>SUM(J104:J110)</f>
        <v>0</v>
      </c>
      <c r="K111" s="394">
        <f>SUM(K104:K110)</f>
        <v>0</v>
      </c>
      <c r="L111" s="394">
        <f>SUM(L104:L110)</f>
        <v>0</v>
      </c>
      <c r="P111" s="394">
        <f>SUM(P104:P110)</f>
        <v>0</v>
      </c>
      <c r="R111" s="394">
        <f>SUM(R104:R110)</f>
        <v>0</v>
      </c>
      <c r="S111" s="394">
        <f>SUM(S104:S110)</f>
        <v>0</v>
      </c>
      <c r="T111" s="428">
        <f>SUM(T104:T110)</f>
        <v>0</v>
      </c>
      <c r="X111" s="1119">
        <v>16</v>
      </c>
      <c r="Y111" s="1122">
        <f ca="1">IF(OR(X111&lt;$Z$92,X111=$Z$92),$I$80/$Z$92,IF(OR(X111&lt;$Z$92*2,X111=$Z$92*2),$J$80/$Z$92,IF(OR(X111&lt;$Z$92*3,X111=$Z$92*3),$K$80/$Z$92,IF(OR(X111&lt;$Z$92*4,X111=$Z$92*4),$L$80/$Z$92,IF(X111=$Y$92+1,$T$80-SUM(Y$95:$Y110),0)))))</f>
        <v>0</v>
      </c>
      <c r="Z111" s="1122">
        <f t="shared" ca="1" si="17"/>
        <v>0</v>
      </c>
      <c r="AA111" s="1123">
        <f t="shared" ca="1" si="18"/>
        <v>0</v>
      </c>
      <c r="AB111" s="1122">
        <f t="shared" ref="AB111:AB123" ca="1" si="23">AB110+AA111</f>
        <v>0</v>
      </c>
      <c r="AC111" s="1121" t="e">
        <f t="shared" ca="1" si="21"/>
        <v>#DIV/0!</v>
      </c>
      <c r="AD111" s="1124" t="str">
        <f t="shared" ca="1" si="19"/>
        <v/>
      </c>
    </row>
    <row r="112" spans="2:30" x14ac:dyDescent="0.2">
      <c r="C112" s="426"/>
      <c r="D112" s="394"/>
      <c r="E112" s="394"/>
      <c r="F112" s="394"/>
      <c r="G112" s="394"/>
      <c r="H112" s="394"/>
      <c r="I112" s="394"/>
      <c r="J112" s="427"/>
      <c r="K112" s="427"/>
      <c r="L112" s="427"/>
      <c r="P112" s="394"/>
      <c r="R112" s="427"/>
      <c r="S112" s="427"/>
      <c r="T112" s="456"/>
      <c r="X112" s="1119">
        <v>17</v>
      </c>
      <c r="Y112" s="1122">
        <f ca="1">IF(OR(X112&lt;$Z$92,X112=$Z$92),$I$80/$Z$92,IF(OR(X112&lt;$Z$92*2,X112=$Z$92*2),$J$80/$Z$92,IF(OR(X112&lt;$Z$92*3,X112=$Z$92*3),$K$80/$Z$92,IF(OR(X112&lt;$Z$92*4,X112=$Z$92*4),$L$80/$Z$92,IF(X112=$Y$92+1,$T$80-SUM(Y$95:$Y111),0)))))</f>
        <v>0</v>
      </c>
      <c r="Z112" s="1122">
        <f t="shared" ca="1" si="17"/>
        <v>0</v>
      </c>
      <c r="AA112" s="1123">
        <f t="shared" ca="1" si="18"/>
        <v>0</v>
      </c>
      <c r="AB112" s="1122">
        <f t="shared" ca="1" si="23"/>
        <v>0</v>
      </c>
      <c r="AC112" s="1121" t="e">
        <f t="shared" ca="1" si="21"/>
        <v>#DIV/0!</v>
      </c>
      <c r="AD112" s="1124" t="str">
        <f t="shared" ca="1" si="19"/>
        <v/>
      </c>
    </row>
    <row r="113" spans="3:58" x14ac:dyDescent="0.2">
      <c r="C113" s="426" t="s">
        <v>341</v>
      </c>
      <c r="D113" s="394"/>
      <c r="E113" s="394"/>
      <c r="F113" s="394"/>
      <c r="G113" s="394"/>
      <c r="H113" s="394"/>
      <c r="I113" s="394"/>
      <c r="J113" s="427"/>
      <c r="K113" s="427"/>
      <c r="L113" s="427"/>
      <c r="P113" s="394">
        <f>T81-R113-S113</f>
        <v>0</v>
      </c>
      <c r="R113" s="427"/>
      <c r="S113" s="427"/>
      <c r="T113" s="456">
        <f>SUM(G113:S113)</f>
        <v>0</v>
      </c>
      <c r="X113" s="1119">
        <v>18</v>
      </c>
      <c r="Y113" s="1122">
        <f ca="1">IF(OR(X113&lt;$Z$92,X113=$Z$92),$I$80/$Z$92,IF(OR(X113&lt;$Z$92*2,X113=$Z$92*2),$J$80/$Z$92,IF(OR(X113&lt;$Z$92*3,X113=$Z$92*3),$K$80/$Z$92,IF(OR(X113&lt;$Z$92*4,X113=$Z$92*4),$L$80/$Z$92,IF(X113=$Y$92+1,$T$80-SUM(Y$95:$Y112),0)))))</f>
        <v>0</v>
      </c>
      <c r="Z113" s="1122">
        <f t="shared" ca="1" si="17"/>
        <v>0</v>
      </c>
      <c r="AA113" s="1123">
        <f t="shared" ca="1" si="18"/>
        <v>0</v>
      </c>
      <c r="AB113" s="1122">
        <f t="shared" ca="1" si="23"/>
        <v>0</v>
      </c>
      <c r="AC113" s="1121" t="e">
        <f t="shared" ca="1" si="21"/>
        <v>#DIV/0!</v>
      </c>
      <c r="AD113" s="1124" t="str">
        <f t="shared" ca="1" si="19"/>
        <v/>
      </c>
    </row>
    <row r="114" spans="3:58" x14ac:dyDescent="0.2">
      <c r="C114" s="426" t="s">
        <v>340</v>
      </c>
      <c r="D114" s="394"/>
      <c r="E114" s="394"/>
      <c r="F114" s="394"/>
      <c r="G114" s="394"/>
      <c r="H114" s="394"/>
      <c r="I114" s="394"/>
      <c r="J114" s="427"/>
      <c r="K114" s="427"/>
      <c r="L114" s="427"/>
      <c r="P114" s="394">
        <f>SUM(G80:L80)-R114-S114</f>
        <v>0</v>
      </c>
      <c r="R114" s="427"/>
      <c r="S114" s="427">
        <f>IF(S79=0,0,W7)</f>
        <v>0</v>
      </c>
      <c r="T114" s="456">
        <f>T80</f>
        <v>0</v>
      </c>
      <c r="X114" s="1119">
        <v>19</v>
      </c>
      <c r="Y114" s="1122">
        <f ca="1">IF(OR(X114&lt;$Z$92,X114=$Z$92),$I$80/$Z$92,IF(OR(X114&lt;$Z$92*2,X114=$Z$92*2),$J$80/$Z$92,IF(OR(X114&lt;$Z$92*3,X114=$Z$92*3),$K$80/$Z$92,IF(OR(X114&lt;$Z$92*4,X114=$Z$92*4),$L$80/$Z$92,IF(X114=$Y$92+1,$T$80-SUM(Y$95:$Y113),0)))))</f>
        <v>0</v>
      </c>
      <c r="Z114" s="1122">
        <f t="shared" ca="1" si="17"/>
        <v>0</v>
      </c>
      <c r="AA114" s="1123">
        <f t="shared" ca="1" si="18"/>
        <v>0</v>
      </c>
      <c r="AB114" s="1122">
        <f t="shared" ca="1" si="23"/>
        <v>0</v>
      </c>
      <c r="AC114" s="1121" t="e">
        <f t="shared" ca="1" si="21"/>
        <v>#DIV/0!</v>
      </c>
      <c r="AD114" s="1124" t="str">
        <f t="shared" ca="1" si="19"/>
        <v/>
      </c>
    </row>
    <row r="115" spans="3:58" x14ac:dyDescent="0.2">
      <c r="C115" s="426" t="s">
        <v>339</v>
      </c>
      <c r="D115" s="394"/>
      <c r="E115" s="394"/>
      <c r="F115" s="394"/>
      <c r="G115" s="394">
        <f>H61-SUM(I115:P115)</f>
        <v>0</v>
      </c>
      <c r="H115" s="394"/>
      <c r="I115" s="394"/>
      <c r="J115" s="427"/>
      <c r="K115" s="427"/>
      <c r="L115" s="427"/>
      <c r="P115" s="394"/>
      <c r="R115" s="427"/>
      <c r="S115" s="427"/>
      <c r="T115" s="456">
        <f>SUM(G115:S115)</f>
        <v>0</v>
      </c>
      <c r="X115" s="1119">
        <v>20</v>
      </c>
      <c r="Y115" s="1122">
        <f ca="1">IF(OR(X115&lt;$Z$92,X115=$Z$92),$I$80/$Z$92,IF(OR(X115&lt;$Z$92*2,X115=$Z$92*2),$J$80/$Z$92,IF(OR(X115&lt;$Z$92*3,X115=$Z$92*3),$K$80/$Z$92,IF(OR(X115&lt;$Z$92*4,X115=$Z$92*4),$L$80/$Z$92,IF(X115=$Y$92+1,$T$80-SUM(Y$95:$Y114),0)))))</f>
        <v>0</v>
      </c>
      <c r="Z115" s="1122">
        <f t="shared" ca="1" si="17"/>
        <v>0</v>
      </c>
      <c r="AA115" s="1123">
        <f t="shared" ca="1" si="18"/>
        <v>0</v>
      </c>
      <c r="AB115" s="1122">
        <f t="shared" ca="1" si="23"/>
        <v>0</v>
      </c>
      <c r="AC115" s="1121" t="e">
        <f t="shared" ca="1" si="21"/>
        <v>#DIV/0!</v>
      </c>
      <c r="AD115" s="1124" t="str">
        <f t="shared" ca="1" si="19"/>
        <v/>
      </c>
    </row>
    <row r="116" spans="3:58" x14ac:dyDescent="0.2">
      <c r="C116" s="426" t="s">
        <v>1010</v>
      </c>
      <c r="D116" s="394"/>
      <c r="E116" s="394"/>
      <c r="F116" s="394"/>
      <c r="G116" s="394"/>
      <c r="H116" s="394"/>
      <c r="I116" s="95">
        <f>L68/4</f>
        <v>0</v>
      </c>
      <c r="J116" s="989">
        <f>I116</f>
        <v>0</v>
      </c>
      <c r="K116" s="989">
        <f>J116</f>
        <v>0</v>
      </c>
      <c r="L116" s="989">
        <f>K116</f>
        <v>0</v>
      </c>
      <c r="P116" s="394"/>
      <c r="R116" s="427"/>
      <c r="S116" s="427"/>
      <c r="T116" s="456">
        <f>SUM(G116:S116)</f>
        <v>0</v>
      </c>
      <c r="X116" s="1119">
        <v>21</v>
      </c>
      <c r="Y116" s="1122">
        <f ca="1">IF(OR(X116&lt;$Z$92,X116=$Z$92),$I$80/$Z$92,IF(OR(X116&lt;$Z$92*2,X116=$Z$92*2),$J$80/$Z$92,IF(OR(X116&lt;$Z$92*3,X116=$Z$92*3),$K$80/$Z$92,IF(OR(X116&lt;$Z$92*4,X116=$Z$92*4),$L$80/$Z$92,IF(X116=$Y$92+1,$T$80-SUM(Y$95:$Y115),0)))))</f>
        <v>0</v>
      </c>
      <c r="Z116" s="1122">
        <f t="shared" ca="1" si="17"/>
        <v>0</v>
      </c>
      <c r="AA116" s="1123">
        <f t="shared" ca="1" si="18"/>
        <v>0</v>
      </c>
      <c r="AB116" s="1122">
        <f t="shared" ca="1" si="23"/>
        <v>0</v>
      </c>
      <c r="AC116" s="1121" t="e">
        <f t="shared" ca="1" si="21"/>
        <v>#DIV/0!</v>
      </c>
      <c r="AD116" s="1124" t="str">
        <f t="shared" ca="1" si="19"/>
        <v/>
      </c>
      <c r="AE116" s="636">
        <f>IF(S79&gt;0,W7,0)</f>
        <v>0</v>
      </c>
    </row>
    <row r="117" spans="3:58" x14ac:dyDescent="0.2">
      <c r="C117" s="426" t="s">
        <v>338</v>
      </c>
      <c r="D117" s="394"/>
      <c r="E117" s="394"/>
      <c r="F117" s="394"/>
      <c r="G117" s="394">
        <f>SUM(G113:G116)</f>
        <v>0</v>
      </c>
      <c r="H117" s="394"/>
      <c r="I117" s="394">
        <f>SUM(I113:I116)</f>
        <v>0</v>
      </c>
      <c r="J117" s="394">
        <f>SUM(J113:J116)</f>
        <v>0</v>
      </c>
      <c r="K117" s="394">
        <f>SUM(K113:K116)</f>
        <v>0</v>
      </c>
      <c r="L117" s="394">
        <f>SUM(L113:L116)</f>
        <v>0</v>
      </c>
      <c r="P117" s="394">
        <f>SUM(P113:P116)</f>
        <v>0</v>
      </c>
      <c r="R117" s="394">
        <f>SUM(R113:R115)</f>
        <v>0</v>
      </c>
      <c r="S117" s="394">
        <f>SUM(S113:S115)</f>
        <v>0</v>
      </c>
      <c r="T117" s="428">
        <f>SUM(T113:T116)</f>
        <v>0</v>
      </c>
      <c r="X117" s="1119">
        <v>22</v>
      </c>
      <c r="Y117" s="1122">
        <f ca="1">IF(OR(X117&lt;$Z$92,X117=$Z$92),$I$80/$Z$92,IF(OR(X117&lt;$Z$92*2,X117=$Z$92*2),$J$80/$Z$92,IF(OR(X117&lt;$Z$92*3,X117=$Z$92*3),$K$80/$Z$92,IF(OR(X117&lt;$Z$92*4,X117=$Z$92*4),$L$80/$Z$92,IF(X117=$Y$92+1,$T$80-SUM(Y$95:$Y116),0)))))</f>
        <v>0</v>
      </c>
      <c r="Z117" s="1122">
        <f t="shared" ca="1" si="17"/>
        <v>0</v>
      </c>
      <c r="AA117" s="1123">
        <f t="shared" ca="1" si="18"/>
        <v>0</v>
      </c>
      <c r="AB117" s="1122">
        <f t="shared" ca="1" si="23"/>
        <v>0</v>
      </c>
      <c r="AC117" s="1121" t="e">
        <f t="shared" ca="1" si="21"/>
        <v>#DIV/0!</v>
      </c>
      <c r="AD117" s="1124" t="str">
        <f t="shared" ca="1" si="19"/>
        <v/>
      </c>
    </row>
    <row r="118" spans="3:58" x14ac:dyDescent="0.2">
      <c r="C118" s="432" t="s">
        <v>337</v>
      </c>
      <c r="D118" s="433"/>
      <c r="E118" s="433"/>
      <c r="F118" s="394"/>
      <c r="G118" s="394">
        <f>G111+G117</f>
        <v>0</v>
      </c>
      <c r="H118" s="394"/>
      <c r="I118" s="394">
        <f>I111+I117</f>
        <v>0</v>
      </c>
      <c r="J118" s="394">
        <f>J111+J117</f>
        <v>0</v>
      </c>
      <c r="K118" s="394">
        <f>K111+K117</f>
        <v>0</v>
      </c>
      <c r="L118" s="394">
        <f>L111+L117</f>
        <v>0</v>
      </c>
      <c r="P118" s="394">
        <f>P111+P117</f>
        <v>0</v>
      </c>
      <c r="R118" s="394">
        <f>R111+R117</f>
        <v>0</v>
      </c>
      <c r="S118" s="394">
        <f>S111+S117</f>
        <v>0</v>
      </c>
      <c r="T118" s="428">
        <f>T111+T117</f>
        <v>0</v>
      </c>
      <c r="X118" s="1119">
        <v>23</v>
      </c>
      <c r="Y118" s="1122">
        <f ca="1">IF(OR(X118&lt;$Z$92,X118=$Z$92),$I$80/$Z$92,IF(OR(X118&lt;$Z$92*2,X118=$Z$92*2),$J$80/$Z$92,IF(OR(X118&lt;$Z$92*3,X118=$Z$92*3),$K$80/$Z$92,IF(OR(X118&lt;$Z$92*4,X118=$Z$92*4),$L$80/$Z$92,IF(X118=$Y$92+1,$T$80-SUM(Y$95:$Y117),0)))))</f>
        <v>0</v>
      </c>
      <c r="Z118" s="1122">
        <f t="shared" ca="1" si="17"/>
        <v>0</v>
      </c>
      <c r="AA118" s="1123">
        <f t="shared" ca="1" si="18"/>
        <v>0</v>
      </c>
      <c r="AB118" s="1122">
        <f t="shared" ca="1" si="23"/>
        <v>0</v>
      </c>
      <c r="AC118" s="1121" t="e">
        <f t="shared" ca="1" si="21"/>
        <v>#DIV/0!</v>
      </c>
      <c r="AD118" s="1124" t="str">
        <f t="shared" ca="1" si="19"/>
        <v/>
      </c>
    </row>
    <row r="119" spans="3:58" x14ac:dyDescent="0.2">
      <c r="C119" s="426"/>
      <c r="D119" s="394"/>
      <c r="E119" s="394"/>
      <c r="F119" s="394"/>
      <c r="G119" s="394"/>
      <c r="H119" s="394"/>
      <c r="I119" s="394"/>
      <c r="J119" s="427"/>
      <c r="K119" s="427"/>
      <c r="L119" s="427"/>
      <c r="P119" s="394"/>
      <c r="R119" s="427"/>
      <c r="S119" s="427"/>
      <c r="T119" s="456"/>
      <c r="V119" s="625" t="s">
        <v>1107</v>
      </c>
      <c r="W119" s="658">
        <f>IF(G5=0,0,(I126+I127+I128)/G5)</f>
        <v>0</v>
      </c>
      <c r="X119" s="1119">
        <v>24</v>
      </c>
      <c r="Y119" s="1122">
        <f ca="1">IF(OR(X119&lt;$Z$92,X119=$Z$92),$I$80/$Z$92,IF(OR(X119&lt;$Z$92*2,X119=$Z$92*2),$J$80/$Z$92,IF(OR(X119&lt;$Z$92*3,X119=$Z$92*3),$K$80/$Z$92,IF(OR(X119&lt;$Z$92*4,X119=$Z$92*4),$L$80/$Z$92,IF(X119=$Y$92+1,$T$80-SUM(Y$95:$Y118),0)))))</f>
        <v>0</v>
      </c>
      <c r="Z119" s="1122">
        <f t="shared" ca="1" si="17"/>
        <v>0</v>
      </c>
      <c r="AA119" s="1123">
        <f t="shared" ca="1" si="18"/>
        <v>0</v>
      </c>
      <c r="AB119" s="1122">
        <f t="shared" ca="1" si="23"/>
        <v>0</v>
      </c>
      <c r="AC119" s="1121" t="e">
        <f t="shared" ca="1" si="21"/>
        <v>#DIV/0!</v>
      </c>
      <c r="AD119" s="1124" t="str">
        <f t="shared" ca="1" si="19"/>
        <v/>
      </c>
    </row>
    <row r="120" spans="3:58" x14ac:dyDescent="0.2">
      <c r="C120" s="426" t="s">
        <v>336</v>
      </c>
      <c r="D120" s="394"/>
      <c r="E120" s="394"/>
      <c r="F120" s="394"/>
      <c r="G120" s="394">
        <f>G100-G118</f>
        <v>0</v>
      </c>
      <c r="H120" s="394"/>
      <c r="I120" s="394">
        <f>I100-I118</f>
        <v>0</v>
      </c>
      <c r="J120" s="394">
        <f>J100-J118</f>
        <v>0</v>
      </c>
      <c r="K120" s="394">
        <f>K100-K118</f>
        <v>0</v>
      </c>
      <c r="L120" s="394">
        <f>L100-L118</f>
        <v>0</v>
      </c>
      <c r="P120" s="95">
        <f>P100-P118</f>
        <v>0</v>
      </c>
      <c r="R120" s="394">
        <f>R100-R118</f>
        <v>0</v>
      </c>
      <c r="S120" s="394">
        <f>S100-S118</f>
        <v>0</v>
      </c>
      <c r="T120" s="428">
        <f>T100-T118</f>
        <v>0</v>
      </c>
      <c r="V120" s="402" t="s">
        <v>1108</v>
      </c>
      <c r="W120" s="495">
        <f>IF(G5=0,0,(I126+I127+I128)/SUM(G6:G9))</f>
        <v>0</v>
      </c>
      <c r="X120" s="1119">
        <v>25</v>
      </c>
      <c r="Y120" s="1122">
        <f ca="1">IF(OR(X120&lt;$Z$92,X120=$Z$92),$I$80/$Z$92,IF(OR(X120&lt;$Z$92*2,X120=$Z$92*2),$J$80/$Z$92,IF(OR(X120&lt;$Z$92*3,X120=$Z$92*3),$K$80/$Z$92,IF(OR(X120&lt;$Z$92*4,X120=$Z$92*4),$L$80/$Z$92,IF(X120=$Y$92+1,$T$80-SUM(Y$95:$Y119),0)))))</f>
        <v>0</v>
      </c>
      <c r="Z120" s="1122">
        <f t="shared" ca="1" si="17"/>
        <v>0</v>
      </c>
      <c r="AA120" s="1123">
        <f t="shared" ca="1" si="18"/>
        <v>0</v>
      </c>
      <c r="AB120" s="1122">
        <f t="shared" ca="1" si="23"/>
        <v>0</v>
      </c>
      <c r="AC120" s="1121" t="e">
        <f t="shared" ca="1" si="21"/>
        <v>#DIV/0!</v>
      </c>
      <c r="AD120" s="1124" t="str">
        <f t="shared" ca="1" si="19"/>
        <v/>
      </c>
    </row>
    <row r="121" spans="3:58" x14ac:dyDescent="0.2">
      <c r="C121" s="462"/>
      <c r="D121" s="616"/>
      <c r="E121" s="616"/>
      <c r="F121" s="412"/>
      <c r="G121" s="412"/>
      <c r="H121" s="412"/>
      <c r="I121" s="412"/>
      <c r="J121" s="412"/>
      <c r="K121" s="412"/>
      <c r="L121" s="412"/>
      <c r="M121" s="412"/>
      <c r="N121" s="412"/>
      <c r="O121" s="412"/>
      <c r="P121" s="412"/>
      <c r="Q121" s="412"/>
      <c r="R121" s="412"/>
      <c r="S121" s="412"/>
      <c r="T121" s="441"/>
      <c r="V121" s="409" t="s">
        <v>1109</v>
      </c>
      <c r="W121" s="499">
        <f>IF(F180=0,0,(O180-M180)/F180/12)</f>
        <v>0</v>
      </c>
      <c r="X121" s="1119">
        <v>26</v>
      </c>
      <c r="Y121" s="1122">
        <f ca="1">IF(OR(X121&lt;$Z$92,X121=$Z$92),$I$80/$Z$92,IF(OR(X121&lt;$Z$92*2,X121=$Z$92*2),$J$80/$Z$92,IF(OR(X121&lt;$Z$92*3,X121=$Z$92*3),$K$80/$Z$92,IF(OR(X121&lt;$Z$92*4,X121=$Z$92*4),$L$80/$Z$92,IF(X121=$Y$92+1,$T$80-SUM(Y$95:$Y120),0)))))</f>
        <v>0</v>
      </c>
      <c r="Z121" s="1122">
        <f t="shared" ca="1" si="17"/>
        <v>0</v>
      </c>
      <c r="AA121" s="1123">
        <f t="shared" ca="1" si="18"/>
        <v>0</v>
      </c>
      <c r="AB121" s="1122">
        <f t="shared" ca="1" si="23"/>
        <v>0</v>
      </c>
      <c r="AC121" s="1121" t="e">
        <f t="shared" ca="1" si="21"/>
        <v>#DIV/0!</v>
      </c>
      <c r="AD121" s="1124" t="str">
        <f t="shared" ca="1" si="19"/>
        <v/>
      </c>
    </row>
    <row r="122" spans="3:58" x14ac:dyDescent="0.2">
      <c r="X122" s="1119">
        <v>27</v>
      </c>
      <c r="Y122" s="1122">
        <f ca="1">IF(OR(X122&lt;$Z$92,X122=$Z$92),$I$80/$Z$92,IF(OR(X122&lt;$Z$92*2,X122=$Z$92*2),$J$80/$Z$92,IF(OR(X122&lt;$Z$92*3,X122=$Z$92*3),$K$80/$Z$92,IF(OR(X122&lt;$Z$92*4,X122=$Z$92*4),$L$80/$Z$92,IF(X122=$Y$92+1,$T$80-SUM(Y$95:$Y121),0)))))</f>
        <v>0</v>
      </c>
      <c r="Z122" s="1122">
        <f t="shared" ca="1" si="17"/>
        <v>0</v>
      </c>
      <c r="AA122" s="1123">
        <f t="shared" ca="1" si="18"/>
        <v>0</v>
      </c>
      <c r="AB122" s="1122">
        <f t="shared" ca="1" si="23"/>
        <v>0</v>
      </c>
      <c r="AC122" s="1121" t="e">
        <f t="shared" ca="1" si="21"/>
        <v>#DIV/0!</v>
      </c>
      <c r="AD122" s="1124" t="str">
        <f t="shared" ca="1" si="19"/>
        <v/>
      </c>
    </row>
    <row r="123" spans="3:58" x14ac:dyDescent="0.2">
      <c r="D123" s="647" t="s">
        <v>335</v>
      </c>
      <c r="E123" s="617"/>
      <c r="F123" s="617"/>
      <c r="G123" s="610"/>
      <c r="H123" s="610"/>
      <c r="I123" s="617"/>
      <c r="J123" s="617"/>
      <c r="K123" s="617"/>
      <c r="L123" s="617"/>
      <c r="M123" s="617"/>
      <c r="N123" s="617"/>
      <c r="O123" s="617"/>
      <c r="P123" s="610"/>
      <c r="Q123" s="648"/>
      <c r="S123" s="625" t="s">
        <v>1113</v>
      </c>
      <c r="T123" s="529"/>
      <c r="U123" s="529"/>
      <c r="V123" s="529"/>
      <c r="W123" s="635"/>
      <c r="X123" s="1119">
        <v>28</v>
      </c>
      <c r="Y123" s="1122">
        <f ca="1">IF(OR(X123&lt;$Z$92,X123=$Z$92),$I$80/$Z$92,IF(OR(X123&lt;$Z$92*2,X123=$Z$92*2),$J$80/$Z$92,IF(OR(X123&lt;$Z$92*3,X123=$Z$92*3),$K$80/$Z$92,IF(OR(X123&lt;$Z$92*4,X123=$Z$92*4),$L$80/$Z$92,IF(X123=$Y$92+1,$T$80-SUM(Y$95:$Y122),0)))))</f>
        <v>0</v>
      </c>
      <c r="Z123" s="1122">
        <f t="shared" ca="1" si="17"/>
        <v>0</v>
      </c>
      <c r="AA123" s="1123">
        <f t="shared" ca="1" si="18"/>
        <v>0</v>
      </c>
      <c r="AB123" s="1122">
        <f t="shared" ca="1" si="23"/>
        <v>0</v>
      </c>
      <c r="AC123" s="1121" t="e">
        <f t="shared" ca="1" si="21"/>
        <v>#DIV/0!</v>
      </c>
      <c r="AD123" s="1124" t="str">
        <f t="shared" ca="1" si="19"/>
        <v/>
      </c>
    </row>
    <row r="124" spans="3:58" x14ac:dyDescent="0.2">
      <c r="D124" s="649"/>
      <c r="E124" s="618"/>
      <c r="F124" s="618"/>
      <c r="G124" s="618"/>
      <c r="I124" s="650"/>
      <c r="J124" s="650"/>
      <c r="K124" s="620" t="s">
        <v>1017</v>
      </c>
      <c r="L124" s="651"/>
      <c r="M124" s="617" t="s">
        <v>330</v>
      </c>
      <c r="N124" s="617"/>
      <c r="O124" s="617"/>
      <c r="P124" s="652"/>
      <c r="Q124" s="653"/>
      <c r="S124" s="409"/>
      <c r="T124" s="412"/>
      <c r="U124" s="412"/>
      <c r="V124" s="463" t="s">
        <v>278</v>
      </c>
      <c r="W124" s="464" t="s">
        <v>304</v>
      </c>
    </row>
    <row r="125" spans="3:58" x14ac:dyDescent="0.2">
      <c r="D125" s="1315" t="s">
        <v>334</v>
      </c>
      <c r="E125" s="1316"/>
      <c r="F125" s="1317"/>
      <c r="G125" s="1317" t="s">
        <v>1778</v>
      </c>
      <c r="H125" s="1317"/>
      <c r="I125" s="467" t="s">
        <v>333</v>
      </c>
      <c r="J125" s="467" t="s">
        <v>332</v>
      </c>
      <c r="K125" s="467" t="s">
        <v>1782</v>
      </c>
      <c r="L125" s="468" t="s">
        <v>331</v>
      </c>
      <c r="M125" s="467" t="s">
        <v>329</v>
      </c>
      <c r="N125" s="467"/>
      <c r="O125" s="467"/>
      <c r="P125" s="500" t="s">
        <v>328</v>
      </c>
      <c r="Q125" s="1313" t="s">
        <v>327</v>
      </c>
      <c r="S125" s="625" t="s">
        <v>1110</v>
      </c>
      <c r="T125" s="529"/>
      <c r="U125" s="529"/>
      <c r="V125" s="614">
        <f>SUMIFS(I126:I141,L126:L141,"First")</f>
        <v>0</v>
      </c>
      <c r="W125" s="1125">
        <f>IF($G$5=0,0,V125/$G$5)</f>
        <v>0</v>
      </c>
      <c r="BD125" s="470"/>
      <c r="BE125" s="470"/>
      <c r="BF125" s="470"/>
    </row>
    <row r="126" spans="3:58" x14ac:dyDescent="0.2">
      <c r="D126" s="1340">
        <v>1</v>
      </c>
      <c r="E126" s="651" t="str">
        <f>IF(F83&lt;&gt;"","0% Loan - "&amp;F83,D83)</f>
        <v>0% Deferred Loan     -     FedHOME</v>
      </c>
      <c r="F126" s="473"/>
      <c r="G126" s="421"/>
      <c r="H126" s="398" t="str">
        <f>IF(P83=0,"",Sources!G32)</f>
        <v/>
      </c>
      <c r="I126" s="450">
        <f t="shared" ref="I126:I131" si="24">T83</f>
        <v>0</v>
      </c>
      <c r="J126" s="405">
        <f>Sources!D32</f>
        <v>0</v>
      </c>
      <c r="K126" s="472">
        <f>Sources!E32</f>
        <v>30</v>
      </c>
      <c r="L126" s="473" t="s">
        <v>322</v>
      </c>
      <c r="M126" s="474">
        <v>0</v>
      </c>
      <c r="N126" s="474"/>
      <c r="O126" s="474"/>
      <c r="P126" s="474">
        <f>M126</f>
        <v>0</v>
      </c>
      <c r="Q126" s="475">
        <f>P126</f>
        <v>0</v>
      </c>
      <c r="S126" s="402" t="s">
        <v>325</v>
      </c>
      <c r="V126" s="394">
        <f>H11</f>
        <v>0</v>
      </c>
      <c r="W126" s="469">
        <f>IF($G$5=0,0,V126/$G$5)</f>
        <v>0</v>
      </c>
      <c r="Y126" s="636">
        <f>_xlfn.IFNA(SUM(VLOOKUP(E126,$D$83:$L$99,4,FALSE),VLOOKUP(E126,$D$83:$L$99,6,FALSE),VLOOKUP(E126,$D$83:$L$99,7,FALSE),VLOOKUP(E126,$D$83:$L$99,8,FALSE),VLOOKUP(E126,$D$83:$L$99,9,FALSE)),_xlfn.IFNA(SUM(VLOOKUP(E126,$B$83:$L$99,6,FALSE),VLOOKUP(E126,$B$83:$L$99,8,FALSE),VLOOKUP(E126,$B$83:$L$99,9,FALSE),VLOOKUP(E126,$B$83:$L$99,10,FALSE),VLOOKUP(E126,$B$83:$L$99,11,FALSE)),0))</f>
        <v>0</v>
      </c>
    </row>
    <row r="127" spans="3:58" x14ac:dyDescent="0.2">
      <c r="D127" s="1341">
        <f>D126+1</f>
        <v>2</v>
      </c>
      <c r="E127" s="473" t="str">
        <f>IF(F84&lt;&gt;"","0% Loan - "&amp;F84,D84)</f>
        <v>0% Deferred Loan 2</v>
      </c>
      <c r="F127" s="473"/>
      <c r="G127" s="421"/>
      <c r="H127" s="398" t="str">
        <f>IF(P84=0,"",Sources!G32)</f>
        <v/>
      </c>
      <c r="I127" s="450">
        <f t="shared" si="24"/>
        <v>0</v>
      </c>
      <c r="J127" s="405">
        <f>J126</f>
        <v>0</v>
      </c>
      <c r="K127" s="472">
        <f>K126</f>
        <v>30</v>
      </c>
      <c r="L127" s="473" t="str">
        <f>L126</f>
        <v>Second</v>
      </c>
      <c r="M127" s="474">
        <v>0</v>
      </c>
      <c r="N127" s="474"/>
      <c r="O127" s="474"/>
      <c r="P127" s="474">
        <f>M127</f>
        <v>0</v>
      </c>
      <c r="Q127" s="475">
        <f>P127</f>
        <v>0</v>
      </c>
      <c r="S127" s="409" t="s">
        <v>324</v>
      </c>
      <c r="T127" s="412"/>
      <c r="U127" s="412"/>
      <c r="V127" s="1126">
        <f>IF(V126=0,0,V125/V126)</f>
        <v>0</v>
      </c>
      <c r="W127" s="506"/>
      <c r="Y127" s="636">
        <f t="shared" ref="Y127:Y141" si="25">_xlfn.IFNA(SUM(VLOOKUP(E127,$D$83:$L$99,4,FALSE),VLOOKUP(E127,$D$83:$L$99,6,FALSE),VLOOKUP(E127,$D$83:$L$99,7,FALSE),VLOOKUP(E127,$D$83:$L$99,8,FALSE),VLOOKUP(E127,$D$83:$L$99,9,FALSE)),_xlfn.IFNA(SUM(VLOOKUP(E127,$B$83:$L$99,6,FALSE),VLOOKUP(E127,$B$83:$L$99,8,FALSE),VLOOKUP(E127,$B$83:$L$99,9,FALSE),VLOOKUP(E127,$B$83:$L$99,10,FALSE),VLOOKUP(E127,$B$83:$L$99,11,FALSE)),0))</f>
        <v>0</v>
      </c>
    </row>
    <row r="128" spans="3:58" hidden="1" x14ac:dyDescent="0.2">
      <c r="D128" s="1341">
        <f>IF(I128&lt;1,D127,D127+1)</f>
        <v>2</v>
      </c>
      <c r="E128" s="473" t="str">
        <f>IF(F85&lt;&gt;"","0% Loan - "&amp;F85,D85)</f>
        <v>0% Deferred Loan 3</v>
      </c>
      <c r="F128" s="473"/>
      <c r="G128" s="421"/>
      <c r="H128" s="398" t="str">
        <f>IF(P85=0,"",Sources!G32)</f>
        <v/>
      </c>
      <c r="I128" s="450">
        <f t="shared" si="24"/>
        <v>0</v>
      </c>
      <c r="J128" s="405">
        <f>J127</f>
        <v>0</v>
      </c>
      <c r="K128" s="472">
        <f>K127</f>
        <v>30</v>
      </c>
      <c r="L128" s="473" t="str">
        <f>L126</f>
        <v>Second</v>
      </c>
      <c r="M128" s="474">
        <v>0</v>
      </c>
      <c r="N128" s="474"/>
      <c r="O128" s="474"/>
      <c r="P128" s="474">
        <v>0</v>
      </c>
      <c r="Q128" s="475">
        <v>0</v>
      </c>
      <c r="S128" s="402"/>
      <c r="V128" s="418"/>
      <c r="W128" s="419"/>
      <c r="Y128" s="636">
        <f t="shared" si="25"/>
        <v>0</v>
      </c>
    </row>
    <row r="129" spans="4:58" x14ac:dyDescent="0.2">
      <c r="D129" s="1341">
        <f t="shared" ref="D129:D141" si="26">D128+1</f>
        <v>3</v>
      </c>
      <c r="E129" s="473" t="str">
        <f>IF(F86&lt;&gt;"","MH Loan  - "&amp;F86,D86)</f>
        <v xml:space="preserve">MH Interest Bearing Loan </v>
      </c>
      <c r="F129" s="421"/>
      <c r="G129" s="421"/>
      <c r="H129" s="398" t="str">
        <f>IF(P86=0,"",IF(Sources!G39=Sources!$G$38,"Interest Only for 30 years",IF(OR(Sources!G39=Sources!$G$37,Sources!G39=Sources!$G$36),"Interest Only for 15 years",IF(Sources!G39=Sources!$G$35,"40 year Am with Ballon in 30","Straight Amortization"))))</f>
        <v/>
      </c>
      <c r="I129" s="450">
        <f t="shared" si="24"/>
        <v>0</v>
      </c>
      <c r="J129" s="405">
        <f>Sources!D39</f>
        <v>0.06</v>
      </c>
      <c r="K129" s="472">
        <f>Sources!E39</f>
        <v>30</v>
      </c>
      <c r="L129" s="473" t="s">
        <v>326</v>
      </c>
      <c r="M129" s="474">
        <f>IF(OR(Sources!G39="Straight Amortization",Sources!G39="40 year Amortization with Ballon at end of 30 years"),PMT(J129/12,K129*12,I129)*-12,I129*J129)</f>
        <v>0</v>
      </c>
      <c r="N129" s="474"/>
      <c r="O129" s="474"/>
      <c r="P129" s="474">
        <f>IF(K129&lt;=5,0,M129)</f>
        <v>0</v>
      </c>
      <c r="Q129" s="475">
        <f>IF(H129="Interest Only for 15 Years",PMT(J129/12,K129*12,I129)*-12,P129)</f>
        <v>0</v>
      </c>
      <c r="S129" s="625" t="s">
        <v>1111</v>
      </c>
      <c r="T129" s="529"/>
      <c r="U129" s="529"/>
      <c r="V129" s="614">
        <f>V125+SUMIFS(I126:I141,L126:L141,"Second")</f>
        <v>0</v>
      </c>
      <c r="W129" s="1125">
        <f>IF($G$5=0,0,V129/$G$5)</f>
        <v>0</v>
      </c>
      <c r="Y129" s="636">
        <f t="shared" si="25"/>
        <v>0</v>
      </c>
      <c r="BD129" s="476"/>
      <c r="BE129" s="476"/>
      <c r="BF129" s="476"/>
    </row>
    <row r="130" spans="4:58" hidden="1" x14ac:dyDescent="0.2">
      <c r="D130" s="1341">
        <f>IF(I130&lt;1,D129,D129+1)</f>
        <v>3</v>
      </c>
      <c r="E130" s="473" t="str">
        <f>IF(F87&lt;&gt;"","MH Loan  - "&amp;F87,D87)</f>
        <v>MH Interest Bearing Loan #2</v>
      </c>
      <c r="F130" s="421"/>
      <c r="G130" s="421"/>
      <c r="H130" s="398" t="str">
        <f>IF(P87=0,"",IF(Sources!G40=Sources!$G$38,"Interest Only for 30 years",IF(OR(Sources!G40=Sources!$G$37,Sources!G40=Sources!$G$36),"Interest Only for 15 years",IF(Sources!G40=Sources!$G$35,"40 year Am with Ballon in 30","Straight Amortization"))))</f>
        <v/>
      </c>
      <c r="I130" s="450">
        <f t="shared" si="24"/>
        <v>0</v>
      </c>
      <c r="J130" s="405">
        <f>Sources!D40</f>
        <v>0.06</v>
      </c>
      <c r="K130" s="472">
        <f>Sources!E40</f>
        <v>30</v>
      </c>
      <c r="L130" s="473" t="str">
        <f>L129</f>
        <v>First</v>
      </c>
      <c r="M130" s="474">
        <f>IF(OR(Sources!G40="Straight Amortization",Sources!G40="40 year Amortization with Ballon at end of 30 years"),PMT(J130/12,K130*12,I130)*-12,I130*J130)</f>
        <v>0</v>
      </c>
      <c r="N130" s="474"/>
      <c r="O130" s="474"/>
      <c r="P130" s="474">
        <f>IF(K130&lt;=5,0,M130)</f>
        <v>0</v>
      </c>
      <c r="Q130" s="475">
        <f>IF(H130="Interest Only for 15 Years",PMT(J130/12,K130*12,I130)*-12,IF(K130&lt;=15,0,P130))</f>
        <v>0</v>
      </c>
      <c r="S130" s="402"/>
      <c r="V130" s="394"/>
      <c r="W130" s="469"/>
      <c r="Y130" s="636">
        <f t="shared" si="25"/>
        <v>0</v>
      </c>
      <c r="BD130" s="476"/>
      <c r="BE130" s="476"/>
      <c r="BF130" s="476"/>
    </row>
    <row r="131" spans="4:58" hidden="1" x14ac:dyDescent="0.2">
      <c r="D131" s="1341">
        <f>IF(I131&lt;1,D130,D130+1)</f>
        <v>3</v>
      </c>
      <c r="E131" s="473" t="str">
        <f>IF(F88&lt;&gt;"","MH Loan  - "&amp;F88,D88)</f>
        <v>MH Interest Bearing Loan #3</v>
      </c>
      <c r="F131" s="421"/>
      <c r="G131" s="421"/>
      <c r="H131" s="398" t="str">
        <f>IF(P88=0,"",IF(Sources!G41=Sources!$G$38,"Interest Only for 30 years",IF(OR(Sources!G41=Sources!$G$37,Sources!G41=Sources!$G$36),"Interest Only for 15 years",IF(Sources!G41=Sources!$G$35,"40 year Am with Ballon in 30","Straight Amortization"))))</f>
        <v/>
      </c>
      <c r="I131" s="450">
        <f t="shared" si="24"/>
        <v>0</v>
      </c>
      <c r="J131" s="405">
        <f>Sources!D41</f>
        <v>0.06</v>
      </c>
      <c r="K131" s="472">
        <f>Sources!E41</f>
        <v>30</v>
      </c>
      <c r="L131" s="473" t="str">
        <f>L130</f>
        <v>First</v>
      </c>
      <c r="M131" s="474">
        <f>IF('Tax Credit Calculations'!D38="Yes",0,IF(OR(Sources!G41="Straight Amortization",Sources!G41="40 year Amortization with Ballon at end of 30 years"),PMT(J131/12,K131*12,I131)*-12,I131*J131))</f>
        <v>0</v>
      </c>
      <c r="N131" s="474"/>
      <c r="O131" s="474"/>
      <c r="P131" s="474">
        <f>IF(K131&lt;=5,0,M131)</f>
        <v>0</v>
      </c>
      <c r="Q131" s="475">
        <f>IF(H131="Interest Only for 15 Years",PMT(J131/12,K131*12,I131)*-12,IF(K131&lt;=15,0,P131))</f>
        <v>0</v>
      </c>
      <c r="S131" s="402"/>
      <c r="V131" s="394"/>
      <c r="W131" s="469"/>
      <c r="Y131" s="636">
        <f t="shared" si="25"/>
        <v>0</v>
      </c>
      <c r="BD131" s="476"/>
      <c r="BE131" s="476"/>
      <c r="BF131" s="476"/>
    </row>
    <row r="132" spans="4:58" x14ac:dyDescent="0.2">
      <c r="D132" s="1341">
        <f t="shared" si="26"/>
        <v>4</v>
      </c>
      <c r="E132" s="421" t="str">
        <f>D90</f>
        <v>AHP Subsidized Advance</v>
      </c>
      <c r="F132" s="421"/>
      <c r="G132" s="421"/>
      <c r="H132" s="398" t="str">
        <f>IF(P90=0,"",Sources!G43)</f>
        <v/>
      </c>
      <c r="I132" s="450">
        <f t="shared" ref="I132" si="27">T90</f>
        <v>0</v>
      </c>
      <c r="J132" s="405">
        <f>Sources!D43</f>
        <v>7.0000000000000007E-2</v>
      </c>
      <c r="K132" s="472">
        <f>Sources!E43</f>
        <v>30</v>
      </c>
      <c r="L132" s="473" t="str">
        <f>L129</f>
        <v>First</v>
      </c>
      <c r="M132" s="1337">
        <f>IF(I132&lt;1,0,Sources!F43*12)</f>
        <v>0</v>
      </c>
      <c r="N132" s="474"/>
      <c r="O132" s="474"/>
      <c r="P132" s="474">
        <f>M132</f>
        <v>0</v>
      </c>
      <c r="Q132" s="475">
        <f t="shared" ref="Q132:Q137" si="28">IF(K132&lt;=15,0,P132)</f>
        <v>0</v>
      </c>
      <c r="S132" s="409" t="s">
        <v>324</v>
      </c>
      <c r="T132" s="412"/>
      <c r="U132" s="412"/>
      <c r="V132" s="1129">
        <f>IF(V126=0,0,V129/V126)</f>
        <v>0</v>
      </c>
      <c r="W132" s="478"/>
      <c r="Y132" s="636">
        <f t="shared" si="25"/>
        <v>0</v>
      </c>
      <c r="BD132" s="476"/>
      <c r="BE132" s="476"/>
      <c r="BF132" s="476"/>
    </row>
    <row r="133" spans="4:58" x14ac:dyDescent="0.2">
      <c r="D133" s="1341">
        <f t="shared" si="26"/>
        <v>5</v>
      </c>
      <c r="E133" s="421" t="str">
        <f>D92</f>
        <v>City FEDHOME*</v>
      </c>
      <c r="F133" s="421"/>
      <c r="G133" s="421"/>
      <c r="H133" s="398"/>
      <c r="I133" s="450">
        <f t="shared" ref="I133:I140" si="29">T92</f>
        <v>0</v>
      </c>
      <c r="J133" s="405">
        <f>Sources!D45</f>
        <v>0</v>
      </c>
      <c r="K133" s="472">
        <f>Sources!E45</f>
        <v>30</v>
      </c>
      <c r="L133" s="473" t="s">
        <v>321</v>
      </c>
      <c r="M133" s="474">
        <f>IF(I133=0,0,Sources!F45*12)</f>
        <v>0</v>
      </c>
      <c r="N133" s="474"/>
      <c r="O133" s="474"/>
      <c r="P133" s="474">
        <f>IF(K133&lt;=5,0,M133)</f>
        <v>0</v>
      </c>
      <c r="Q133" s="475">
        <f t="shared" si="28"/>
        <v>0</v>
      </c>
      <c r="S133" s="649" t="s">
        <v>1112</v>
      </c>
      <c r="T133" s="529"/>
      <c r="U133" s="529"/>
      <c r="V133" s="614">
        <f>V129+SUMIFS(I126:I141,L126:L141,"Third")</f>
        <v>0</v>
      </c>
      <c r="W133" s="1125">
        <f>IF($G$5=0,0,V133/$G$5)</f>
        <v>0</v>
      </c>
      <c r="Y133" s="636">
        <f t="shared" si="25"/>
        <v>0</v>
      </c>
      <c r="BD133" s="476"/>
      <c r="BE133" s="476"/>
      <c r="BF133" s="476"/>
    </row>
    <row r="134" spans="4:58" x14ac:dyDescent="0.2">
      <c r="D134" s="1341">
        <f t="shared" si="26"/>
        <v>6</v>
      </c>
      <c r="E134" s="421" t="str">
        <f>D93</f>
        <v>AHP Capital Advance*</v>
      </c>
      <c r="F134" s="421"/>
      <c r="H134" s="398"/>
      <c r="I134" s="450">
        <f t="shared" si="29"/>
        <v>0</v>
      </c>
      <c r="J134" s="405">
        <f>Sources!D46</f>
        <v>0</v>
      </c>
      <c r="K134" s="472">
        <f>IF(I134=0,30,Sources!E46)</f>
        <v>30</v>
      </c>
      <c r="L134" s="473" t="s">
        <v>321</v>
      </c>
      <c r="M134" s="474">
        <f>IF(I134=0,0,(Sources!F46+Sources!F18)*12)</f>
        <v>0</v>
      </c>
      <c r="N134" s="474"/>
      <c r="O134" s="474"/>
      <c r="P134" s="474">
        <f>IF(K134&lt;=5,0,M134)</f>
        <v>0</v>
      </c>
      <c r="Q134" s="475">
        <f t="shared" si="28"/>
        <v>0</v>
      </c>
      <c r="S134" s="409" t="s">
        <v>324</v>
      </c>
      <c r="T134" s="412"/>
      <c r="U134" s="412"/>
      <c r="V134" s="1129">
        <f>IF(V126=0,0,V133/V126)</f>
        <v>0</v>
      </c>
      <c r="W134" s="1127"/>
      <c r="Y134" s="636">
        <f t="shared" si="25"/>
        <v>0</v>
      </c>
      <c r="BD134" s="476"/>
      <c r="BE134" s="476"/>
      <c r="BF134" s="476"/>
    </row>
    <row r="135" spans="4:58" x14ac:dyDescent="0.2">
      <c r="D135" s="1341">
        <f t="shared" si="26"/>
        <v>7</v>
      </c>
      <c r="E135" s="421" t="str">
        <f>D94</f>
        <v>TIF Loan*</v>
      </c>
      <c r="F135" s="421"/>
      <c r="H135" s="398"/>
      <c r="I135" s="450">
        <f t="shared" si="29"/>
        <v>0</v>
      </c>
      <c r="J135" s="405">
        <f>Sources!D47</f>
        <v>0</v>
      </c>
      <c r="K135" s="472">
        <f>IF(I135=0,30,Sources!E47)</f>
        <v>30</v>
      </c>
      <c r="L135" s="473" t="s">
        <v>321</v>
      </c>
      <c r="M135" s="474">
        <f>IF(I135=0,0,Sources!F47*12)</f>
        <v>0</v>
      </c>
      <c r="N135" s="474"/>
      <c r="O135" s="474"/>
      <c r="P135" s="474">
        <f>IF(K135&lt;=5,0,M135)</f>
        <v>0</v>
      </c>
      <c r="Q135" s="475">
        <f t="shared" si="28"/>
        <v>0</v>
      </c>
      <c r="S135" s="421"/>
      <c r="W135" s="507"/>
      <c r="Y135" s="636">
        <f t="shared" si="25"/>
        <v>0</v>
      </c>
      <c r="BD135" s="476"/>
      <c r="BE135" s="476"/>
      <c r="BF135" s="476"/>
    </row>
    <row r="136" spans="4:58" x14ac:dyDescent="0.2">
      <c r="D136" s="1341">
        <f t="shared" si="26"/>
        <v>8</v>
      </c>
      <c r="E136" s="421" t="str">
        <f>C95</f>
        <v xml:space="preserve"> </v>
      </c>
      <c r="F136" s="421"/>
      <c r="H136" s="398"/>
      <c r="I136" s="450">
        <f t="shared" si="29"/>
        <v>0</v>
      </c>
      <c r="J136" s="405">
        <f>Sources!D48</f>
        <v>0</v>
      </c>
      <c r="K136" s="472">
        <f>IF(I136=0,30,Sources!E48)</f>
        <v>30</v>
      </c>
      <c r="L136" s="473" t="s">
        <v>321</v>
      </c>
      <c r="M136" s="474">
        <f>IF(I136=0,0,Sources!F48*12)</f>
        <v>0</v>
      </c>
      <c r="N136" s="480"/>
      <c r="O136" s="480"/>
      <c r="P136" s="474">
        <f>IF(K136&lt;=5,0,M136)</f>
        <v>0</v>
      </c>
      <c r="Q136" s="475">
        <f t="shared" si="28"/>
        <v>0</v>
      </c>
      <c r="S136" s="625" t="s">
        <v>1114</v>
      </c>
      <c r="T136" s="529"/>
      <c r="U136" s="529"/>
      <c r="V136" s="529"/>
      <c r="W136" s="635"/>
      <c r="Y136" s="636">
        <f t="shared" si="25"/>
        <v>0</v>
      </c>
      <c r="BD136" s="476"/>
      <c r="BE136" s="476"/>
      <c r="BF136" s="476"/>
    </row>
    <row r="137" spans="4:58" x14ac:dyDescent="0.2">
      <c r="D137" s="1341">
        <f t="shared" si="26"/>
        <v>9</v>
      </c>
      <c r="E137" s="421" t="str">
        <f>C96</f>
        <v xml:space="preserve"> </v>
      </c>
      <c r="F137" s="421"/>
      <c r="H137" s="398"/>
      <c r="I137" s="450">
        <f t="shared" si="29"/>
        <v>0</v>
      </c>
      <c r="J137" s="405">
        <f>Sources!D49</f>
        <v>0</v>
      </c>
      <c r="K137" s="472">
        <f>IF(I137=0,30,Sources!E49)</f>
        <v>30</v>
      </c>
      <c r="L137" s="473" t="s">
        <v>321</v>
      </c>
      <c r="M137" s="474">
        <f>IF(I137=0,0,Sources!F49*12)</f>
        <v>0</v>
      </c>
      <c r="N137" s="480"/>
      <c r="O137" s="480"/>
      <c r="P137" s="474">
        <f>IF(K137&lt;=5,0,M137)</f>
        <v>0</v>
      </c>
      <c r="Q137" s="475">
        <f t="shared" si="28"/>
        <v>0</v>
      </c>
      <c r="S137" s="409"/>
      <c r="T137" s="412"/>
      <c r="U137" s="412"/>
      <c r="V137" s="463" t="s">
        <v>278</v>
      </c>
      <c r="W137" s="464" t="s">
        <v>304</v>
      </c>
      <c r="Y137" s="636">
        <f t="shared" si="25"/>
        <v>0</v>
      </c>
    </row>
    <row r="138" spans="4:58" x14ac:dyDescent="0.2">
      <c r="D138" s="1341">
        <f t="shared" si="26"/>
        <v>10</v>
      </c>
      <c r="E138" s="421" t="str">
        <f>D97</f>
        <v>Grant*</v>
      </c>
      <c r="F138" s="421"/>
      <c r="H138" s="398" t="str">
        <f>IF(P97=0,"",Sources!B51)</f>
        <v/>
      </c>
      <c r="I138" s="450">
        <f t="shared" si="29"/>
        <v>0</v>
      </c>
      <c r="J138" s="405"/>
      <c r="K138" s="472"/>
      <c r="L138" s="473" t="s">
        <v>321</v>
      </c>
      <c r="M138" s="480"/>
      <c r="N138" s="480"/>
      <c r="O138" s="480"/>
      <c r="P138" s="480"/>
      <c r="Q138" s="481"/>
      <c r="S138" s="625" t="s">
        <v>1110</v>
      </c>
      <c r="T138" s="529"/>
      <c r="U138" s="529"/>
      <c r="V138" s="614">
        <f>T80+SUMIFS($Y$126:$Y$140,$L$126:$L$140,"First")</f>
        <v>0</v>
      </c>
      <c r="W138" s="1125">
        <f>IF($G$5=0,0,V138/$G$5)</f>
        <v>0</v>
      </c>
      <c r="Y138" s="636">
        <f t="shared" si="25"/>
        <v>0</v>
      </c>
    </row>
    <row r="139" spans="4:58" x14ac:dyDescent="0.2">
      <c r="D139" s="1341">
        <f t="shared" si="26"/>
        <v>11</v>
      </c>
      <c r="E139" s="421" t="str">
        <f>D98</f>
        <v>General Partner (or Affiliate) Loan</v>
      </c>
      <c r="F139" s="421"/>
      <c r="G139" s="421"/>
      <c r="H139" s="398" t="str">
        <f>IF(P98=0,"",Sources!G53)</f>
        <v/>
      </c>
      <c r="I139" s="450">
        <f t="shared" si="29"/>
        <v>0</v>
      </c>
      <c r="J139" s="405"/>
      <c r="K139" s="472"/>
      <c r="L139" s="473" t="s">
        <v>319</v>
      </c>
      <c r="M139" s="480"/>
      <c r="N139" s="480"/>
      <c r="O139" s="480"/>
      <c r="P139" s="480"/>
      <c r="Q139" s="481"/>
      <c r="S139" s="402" t="s">
        <v>325</v>
      </c>
      <c r="V139" s="394">
        <f>V126+I141</f>
        <v>0</v>
      </c>
      <c r="W139" s="469">
        <f>IF($G$5=0,0,V139/$G$5)</f>
        <v>0</v>
      </c>
      <c r="Y139" s="636">
        <f t="shared" si="25"/>
        <v>0</v>
      </c>
    </row>
    <row r="140" spans="4:58" x14ac:dyDescent="0.2">
      <c r="D140" s="1341">
        <f t="shared" si="26"/>
        <v>12</v>
      </c>
      <c r="E140" s="421" t="str">
        <f>D99</f>
        <v>Deferred Developer Fee</v>
      </c>
      <c r="F140" s="421"/>
      <c r="G140" s="421"/>
      <c r="H140" s="398" t="str">
        <f>IF(P99=0,"",Sources!G54)</f>
        <v/>
      </c>
      <c r="I140" s="450">
        <f t="shared" si="29"/>
        <v>0</v>
      </c>
      <c r="J140" s="405"/>
      <c r="K140" s="472"/>
      <c r="L140" s="473" t="s">
        <v>319</v>
      </c>
      <c r="M140" s="480"/>
      <c r="N140" s="480"/>
      <c r="O140" s="480"/>
      <c r="P140" s="480"/>
      <c r="Q140" s="481"/>
      <c r="S140" s="409" t="s">
        <v>324</v>
      </c>
      <c r="T140" s="412"/>
      <c r="U140" s="412"/>
      <c r="V140" s="1126">
        <f>IF(V139=0,0,V138/V139)</f>
        <v>0</v>
      </c>
      <c r="W140" s="506"/>
      <c r="Y140" s="636">
        <f t="shared" si="25"/>
        <v>0</v>
      </c>
      <c r="Z140" s="394"/>
      <c r="AA140" s="394"/>
      <c r="AB140" s="394"/>
      <c r="AC140" s="394"/>
      <c r="AD140" s="394"/>
      <c r="AE140" s="1167"/>
      <c r="AF140" s="394"/>
      <c r="AG140" s="394"/>
      <c r="AH140" s="394"/>
      <c r="AI140" s="394"/>
      <c r="AJ140" s="394"/>
      <c r="AK140" s="394"/>
      <c r="AL140" s="394"/>
      <c r="AM140" s="394"/>
      <c r="AN140" s="394"/>
      <c r="AO140" s="394"/>
      <c r="AP140" s="394"/>
      <c r="AQ140" s="394"/>
      <c r="AR140" s="394"/>
      <c r="AS140" s="394"/>
      <c r="AT140" s="394"/>
      <c r="AU140" s="394"/>
      <c r="AV140" s="394"/>
      <c r="AW140" s="394"/>
      <c r="AX140" s="394"/>
      <c r="AY140" s="394"/>
      <c r="AZ140" s="394"/>
      <c r="BA140" s="394"/>
      <c r="BB140" s="394"/>
      <c r="BC140" s="394"/>
      <c r="BD140" s="394"/>
      <c r="BE140" s="394"/>
      <c r="BF140" s="394"/>
    </row>
    <row r="141" spans="4:58" x14ac:dyDescent="0.2">
      <c r="D141" s="1341">
        <f t="shared" si="26"/>
        <v>13</v>
      </c>
      <c r="E141" s="421" t="s">
        <v>318</v>
      </c>
      <c r="F141" s="421"/>
      <c r="G141" s="421"/>
      <c r="H141" s="398"/>
      <c r="I141" s="450">
        <f>T78+T79</f>
        <v>0</v>
      </c>
      <c r="J141" s="482">
        <f>IF(I141=0,0,I141/(V4*10))</f>
        <v>0</v>
      </c>
      <c r="K141" s="472"/>
      <c r="L141" s="473" t="s">
        <v>41</v>
      </c>
      <c r="M141" s="407"/>
      <c r="N141" s="407"/>
      <c r="O141" s="407"/>
      <c r="P141" s="407"/>
      <c r="Q141" s="469"/>
      <c r="R141" s="421"/>
      <c r="S141" s="625" t="s">
        <v>1111</v>
      </c>
      <c r="T141" s="529"/>
      <c r="U141" s="529"/>
      <c r="V141" s="614">
        <f>V138+SUMIFS(Y126:Y140,L126:L140,"Second")</f>
        <v>0</v>
      </c>
      <c r="W141" s="1125">
        <f>IF($G$5=0,0,V141/$G$5)</f>
        <v>0</v>
      </c>
      <c r="Y141" s="636">
        <f t="shared" si="25"/>
        <v>0</v>
      </c>
      <c r="Z141" s="394"/>
      <c r="AA141" s="394"/>
      <c r="AB141" s="394"/>
      <c r="AC141" s="394"/>
      <c r="AD141" s="394"/>
      <c r="AE141" s="1167"/>
      <c r="AF141" s="394"/>
      <c r="AG141" s="394"/>
      <c r="AH141" s="394"/>
      <c r="AI141" s="394"/>
      <c r="AJ141" s="394"/>
      <c r="AK141" s="394"/>
      <c r="AL141" s="394"/>
      <c r="AM141" s="394"/>
      <c r="AN141" s="394"/>
      <c r="AO141" s="394"/>
      <c r="AP141" s="394"/>
      <c r="AQ141" s="394"/>
      <c r="AR141" s="394"/>
      <c r="AS141" s="394"/>
      <c r="AT141" s="394"/>
      <c r="AU141" s="394"/>
      <c r="AV141" s="394"/>
      <c r="AW141" s="394"/>
      <c r="AX141" s="394"/>
      <c r="AY141" s="394"/>
      <c r="AZ141" s="394"/>
      <c r="BA141" s="394"/>
      <c r="BB141" s="394"/>
      <c r="BC141" s="394"/>
      <c r="BD141" s="394"/>
      <c r="BE141" s="394"/>
      <c r="BF141" s="394"/>
    </row>
    <row r="142" spans="4:58" x14ac:dyDescent="0.2">
      <c r="D142" s="471"/>
      <c r="E142" s="421"/>
      <c r="F142" s="421"/>
      <c r="G142" s="421"/>
      <c r="I142" s="450"/>
      <c r="J142" s="405"/>
      <c r="K142" s="472"/>
      <c r="L142" s="473"/>
      <c r="M142" s="407"/>
      <c r="N142" s="407"/>
      <c r="O142" s="407"/>
      <c r="P142" s="407"/>
      <c r="Q142" s="469"/>
      <c r="R142" s="421"/>
      <c r="S142" s="409" t="s">
        <v>324</v>
      </c>
      <c r="T142" s="412"/>
      <c r="U142" s="412"/>
      <c r="V142" s="1129">
        <f>IF(V139=0,0,V141/V139)</f>
        <v>0</v>
      </c>
      <c r="W142" s="478"/>
      <c r="Y142" s="636"/>
      <c r="Z142" s="394"/>
      <c r="AA142" s="394"/>
      <c r="AB142" s="394"/>
      <c r="AC142" s="394"/>
      <c r="AD142" s="394"/>
      <c r="AE142" s="1167"/>
      <c r="AF142" s="394"/>
      <c r="AG142" s="394"/>
      <c r="AH142" s="394"/>
      <c r="AI142" s="394"/>
      <c r="AJ142" s="394"/>
      <c r="AK142" s="394"/>
      <c r="AL142" s="394"/>
      <c r="AM142" s="394"/>
      <c r="AN142" s="394"/>
      <c r="AO142" s="394"/>
      <c r="AP142" s="394"/>
      <c r="AQ142" s="394"/>
      <c r="AR142" s="394"/>
      <c r="AS142" s="394"/>
      <c r="AT142" s="394"/>
      <c r="AU142" s="394"/>
      <c r="AV142" s="394"/>
      <c r="AW142" s="394"/>
      <c r="AX142" s="394"/>
      <c r="AY142" s="394"/>
      <c r="AZ142" s="394"/>
      <c r="BA142" s="394"/>
      <c r="BB142" s="394"/>
      <c r="BC142" s="394"/>
      <c r="BD142" s="394"/>
      <c r="BE142" s="394"/>
      <c r="BF142" s="394"/>
    </row>
    <row r="143" spans="4:58" x14ac:dyDescent="0.2">
      <c r="D143" s="471" t="s">
        <v>41</v>
      </c>
      <c r="E143" s="421" t="s">
        <v>317</v>
      </c>
      <c r="F143" s="421"/>
      <c r="G143" s="421"/>
      <c r="I143" s="450">
        <f>I145-SUM(I126:I141)</f>
        <v>0</v>
      </c>
      <c r="J143" s="421"/>
      <c r="K143" s="483"/>
      <c r="L143" s="473"/>
      <c r="M143" s="407"/>
      <c r="N143" s="407"/>
      <c r="O143" s="407"/>
      <c r="P143" s="407"/>
      <c r="Q143" s="469"/>
      <c r="R143" s="421"/>
      <c r="S143" s="625" t="s">
        <v>1112</v>
      </c>
      <c r="T143" s="529"/>
      <c r="U143" s="529"/>
      <c r="V143" s="614">
        <f>V141+SUMIFS(Y126:Y140,L126:L140,"Third")</f>
        <v>0</v>
      </c>
      <c r="W143" s="1125">
        <f>IF($G$5=0,0,V143/$G$5)</f>
        <v>0</v>
      </c>
      <c r="Y143" s="394"/>
      <c r="Z143" s="394"/>
      <c r="AA143" s="394"/>
      <c r="AB143" s="394"/>
      <c r="AC143" s="394"/>
      <c r="AD143" s="394"/>
      <c r="AE143" s="1167"/>
      <c r="AF143" s="394"/>
      <c r="AG143" s="394"/>
      <c r="AH143" s="394"/>
      <c r="AI143" s="394"/>
      <c r="AJ143" s="394"/>
      <c r="AK143" s="394"/>
      <c r="AL143" s="394"/>
      <c r="AM143" s="394"/>
      <c r="AN143" s="394"/>
      <c r="AO143" s="394"/>
      <c r="AP143" s="394"/>
      <c r="AQ143" s="394"/>
      <c r="AR143" s="394"/>
      <c r="AS143" s="394"/>
      <c r="AT143" s="394"/>
      <c r="AU143" s="394"/>
      <c r="AV143" s="394"/>
      <c r="AW143" s="394"/>
      <c r="AX143" s="394"/>
      <c r="AY143" s="394"/>
      <c r="AZ143" s="394"/>
      <c r="BA143" s="394"/>
      <c r="BB143" s="394"/>
      <c r="BC143" s="394"/>
      <c r="BD143" s="394"/>
      <c r="BE143" s="394"/>
      <c r="BF143" s="394"/>
    </row>
    <row r="144" spans="4:58" x14ac:dyDescent="0.2">
      <c r="D144" s="471"/>
      <c r="E144" s="421"/>
      <c r="F144" s="421"/>
      <c r="G144" s="421"/>
      <c r="I144" s="450"/>
      <c r="J144" s="421"/>
      <c r="K144" s="483"/>
      <c r="L144" s="473"/>
      <c r="M144" s="1320"/>
      <c r="N144" s="407"/>
      <c r="O144" s="407"/>
      <c r="P144" s="407"/>
      <c r="Q144" s="469"/>
      <c r="R144" s="421"/>
      <c r="S144" s="409" t="s">
        <v>324</v>
      </c>
      <c r="T144" s="412"/>
      <c r="U144" s="412"/>
      <c r="V144" s="1129">
        <f>IF(V139=0,0,V143/V139)</f>
        <v>0</v>
      </c>
      <c r="W144" s="478"/>
    </row>
    <row r="145" spans="1:39" x14ac:dyDescent="0.2">
      <c r="D145" s="465"/>
      <c r="E145" s="466" t="s">
        <v>278</v>
      </c>
      <c r="F145" s="466"/>
      <c r="G145" s="466"/>
      <c r="H145" s="466"/>
      <c r="I145" s="484">
        <f>P68</f>
        <v>0</v>
      </c>
      <c r="J145" s="466"/>
      <c r="K145" s="467"/>
      <c r="L145" s="468"/>
      <c r="M145" s="484"/>
      <c r="N145" s="484"/>
      <c r="O145" s="484"/>
      <c r="P145" s="485"/>
      <c r="Q145" s="478"/>
      <c r="R145" s="421"/>
    </row>
    <row r="146" spans="1:39" x14ac:dyDescent="0.2">
      <c r="C146" s="421"/>
      <c r="D146" s="421"/>
      <c r="E146" s="421"/>
      <c r="M146" s="1319"/>
      <c r="N146" s="421"/>
      <c r="O146" s="421"/>
      <c r="P146" s="421"/>
      <c r="Q146" s="421"/>
      <c r="R146" s="421"/>
    </row>
    <row r="147" spans="1:39" x14ac:dyDescent="0.2">
      <c r="C147" s="421"/>
      <c r="D147" s="421"/>
      <c r="E147" s="421"/>
      <c r="F147" s="654"/>
      <c r="G147" s="421"/>
      <c r="H147" s="421"/>
      <c r="I147" s="421"/>
      <c r="J147" s="421"/>
      <c r="K147" s="421"/>
      <c r="L147" s="421"/>
      <c r="M147" s="421"/>
      <c r="N147" s="421"/>
      <c r="O147" s="421"/>
      <c r="P147" s="421"/>
      <c r="Q147" s="421"/>
      <c r="R147" s="421"/>
      <c r="W147" s="398" t="str">
        <f>'Project Information'!D4</f>
        <v>Project Name</v>
      </c>
    </row>
    <row r="148" spans="1:39" x14ac:dyDescent="0.2">
      <c r="C148" s="421"/>
      <c r="D148" s="421"/>
      <c r="E148" s="421"/>
      <c r="F148" s="654"/>
      <c r="G148" s="421"/>
      <c r="H148" s="421"/>
      <c r="I148" s="421"/>
      <c r="J148" s="421"/>
      <c r="K148" s="421"/>
      <c r="L148" s="421"/>
      <c r="M148" s="421"/>
      <c r="N148" s="421"/>
      <c r="O148" s="421"/>
      <c r="P148" s="421"/>
      <c r="Q148" s="421"/>
      <c r="R148" s="421"/>
    </row>
    <row r="149" spans="1:39" x14ac:dyDescent="0.2">
      <c r="D149" s="1151" t="s">
        <v>316</v>
      </c>
      <c r="E149" s="529"/>
      <c r="F149" s="1152"/>
      <c r="G149" s="1152"/>
      <c r="H149" s="1153" t="s">
        <v>575</v>
      </c>
      <c r="I149" s="1152"/>
      <c r="J149" s="1153" t="s">
        <v>575</v>
      </c>
      <c r="K149" s="655"/>
      <c r="L149" s="655"/>
      <c r="M149" s="1154"/>
      <c r="Q149" s="656" t="s">
        <v>315</v>
      </c>
      <c r="R149" s="652"/>
      <c r="S149" s="652"/>
      <c r="T149" s="652"/>
      <c r="U149" s="652"/>
      <c r="V149" s="652"/>
      <c r="W149" s="653"/>
    </row>
    <row r="150" spans="1:39" x14ac:dyDescent="0.2">
      <c r="D150" s="402"/>
      <c r="H150" s="470" t="s">
        <v>313</v>
      </c>
      <c r="I150" s="470" t="s">
        <v>577</v>
      </c>
      <c r="J150" s="470" t="s">
        <v>392</v>
      </c>
      <c r="K150" s="487"/>
      <c r="L150" s="487"/>
      <c r="M150" s="438"/>
      <c r="Q150" s="402"/>
      <c r="W150" s="438"/>
    </row>
    <row r="151" spans="1:39" x14ac:dyDescent="0.2">
      <c r="D151" s="488"/>
      <c r="E151" s="398"/>
      <c r="F151" s="398"/>
      <c r="G151" s="398"/>
      <c r="H151" s="470" t="s">
        <v>579</v>
      </c>
      <c r="I151" s="470" t="s">
        <v>83</v>
      </c>
      <c r="J151" s="470" t="s">
        <v>580</v>
      </c>
      <c r="K151" s="489" t="s">
        <v>314</v>
      </c>
      <c r="L151" s="489" t="s">
        <v>312</v>
      </c>
      <c r="M151" s="490" t="s">
        <v>278</v>
      </c>
      <c r="N151" s="398"/>
      <c r="O151" s="398"/>
      <c r="Q151" s="402"/>
      <c r="V151" s="398" t="s">
        <v>277</v>
      </c>
      <c r="W151" s="490" t="s">
        <v>311</v>
      </c>
      <c r="AH151" s="470"/>
      <c r="AI151" s="470"/>
      <c r="AJ151" s="470"/>
    </row>
    <row r="152" spans="1:39" x14ac:dyDescent="0.2">
      <c r="D152" s="1339" t="s">
        <v>310</v>
      </c>
      <c r="E152" s="500" t="s">
        <v>309</v>
      </c>
      <c r="F152" s="500" t="s">
        <v>308</v>
      </c>
      <c r="G152" s="500"/>
      <c r="H152" s="500" t="s">
        <v>578</v>
      </c>
      <c r="I152" s="500" t="s">
        <v>306</v>
      </c>
      <c r="J152" s="500" t="s">
        <v>220</v>
      </c>
      <c r="K152" s="493" t="s">
        <v>307</v>
      </c>
      <c r="L152" s="493" t="s">
        <v>220</v>
      </c>
      <c r="M152" s="464" t="s">
        <v>220</v>
      </c>
      <c r="N152" s="398"/>
      <c r="O152" s="398"/>
      <c r="Q152" s="409" t="s">
        <v>305</v>
      </c>
      <c r="R152" s="412"/>
      <c r="S152" s="412"/>
      <c r="T152" s="412"/>
      <c r="U152" s="463" t="s">
        <v>277</v>
      </c>
      <c r="V152" s="463" t="s">
        <v>304</v>
      </c>
      <c r="W152" s="464" t="s">
        <v>304</v>
      </c>
      <c r="AH152" s="470"/>
      <c r="AI152" s="470"/>
      <c r="AJ152" s="470"/>
    </row>
    <row r="153" spans="1:39" ht="12" customHeight="1" x14ac:dyDescent="0.2">
      <c r="A153" s="1212">
        <f>IF(COUNT('Project Income &amp; UA'!E33:E55)&gt;13,1,0)</f>
        <v>0</v>
      </c>
      <c r="B153" s="1212"/>
      <c r="D153" s="1314" t="str">
        <f>_xlfn.IFNA(VLOOKUP(A153,'Project Income &amp; UA'!$C$33:$N$55,3,FALSE)&amp;" BR","")</f>
        <v/>
      </c>
      <c r="E153" s="1159" t="str">
        <f>_xlfn.IFNA(VLOOKUP($A153,'Project Income &amp; UA'!$C$33:$N$55,4,FALSE)," - ")</f>
        <v xml:space="preserve"> - </v>
      </c>
      <c r="F153" s="1138">
        <f>IF(A153&gt;0,SUMIFS('Project Income &amp; UA'!$G$33:$G$55,'Project Income &amp; UA'!$C$33:$C$55,A153),)</f>
        <v>0</v>
      </c>
      <c r="G153" s="1138"/>
      <c r="H153" s="1138">
        <f>_xlfn.IFNA(VLOOKUP($A153,'Project Income &amp; UA'!$C$33:$N$55,6,FALSE),)</f>
        <v>0</v>
      </c>
      <c r="I153" s="1138">
        <f>_xlfn.IFNA(VLOOKUP($A153,'Project Income &amp; UA'!$C$33:$N$55,7,FALSE),)</f>
        <v>0</v>
      </c>
      <c r="J153" s="1138">
        <f>H153-I153</f>
        <v>0</v>
      </c>
      <c r="K153" s="1155">
        <f>_xlfn.IFNA(VLOOKUP($A153,'Project Income &amp; UA'!$C$33:$N$55,9,FALSE),)</f>
        <v>0</v>
      </c>
      <c r="L153" s="1155">
        <f>_xlfn.IFNA(VLOOKUP($A153,'Project Income &amp; UA'!$C$33:$N$55,11,FALSE),)</f>
        <v>0</v>
      </c>
      <c r="M153" s="1363">
        <f>IF(F153="","",IF(E153="Mkt",F153*MIN(K153,L153)*12,F153*MIN(J153,K153,L153)*12))</f>
        <v>0</v>
      </c>
      <c r="N153" s="407">
        <f>_xlfn.IFNA(VLOOKUP($A153,'Project Income &amp; UA'!$C$33:$R$55,16,FALSE),)</f>
        <v>0</v>
      </c>
      <c r="O153" s="397">
        <f t="shared" ref="O153:O179" si="30">IF(F153="","",L153*F153*12)</f>
        <v>0</v>
      </c>
      <c r="Q153" s="625" t="s">
        <v>303</v>
      </c>
      <c r="R153" s="529"/>
      <c r="S153" s="529"/>
      <c r="T153" s="529"/>
      <c r="U153" s="657"/>
      <c r="V153" s="657"/>
      <c r="W153" s="658"/>
      <c r="AE153" s="636">
        <f t="shared" ref="AE153:AE177" si="31">_xlfn.NUMBERVALUE(LEFT(D153,1))</f>
        <v>0</v>
      </c>
    </row>
    <row r="154" spans="1:39" x14ac:dyDescent="0.2">
      <c r="A154" s="1212">
        <f>IF(COUNT('Project Income &amp; UA'!$E$33:$E$55)&lt;9,0,_xlfn.IFNA(IF(A153=0,MAX($A$153:A153)+1,IF(VLOOKUP(A153,'Project Income &amp; UA'!$C$33:$X$55,3,FALSE)=VLOOKUP(A153+1,'Project Income &amp; UA'!$C$33:$X$55,3,FALSE),A153+1,IF(A153=0,MAX($A$153:A153)+1,0))),))</f>
        <v>0</v>
      </c>
      <c r="B154" s="1212"/>
      <c r="D154" s="1314" t="str">
        <f>_xlfn.IFNA(VLOOKUP(A154,'Project Income &amp; UA'!$C$33:$N$55,3,FALSE)&amp;" BR","")</f>
        <v/>
      </c>
      <c r="E154" s="1159" t="str">
        <f>_xlfn.IFNA(VLOOKUP(A154,'Project Income &amp; UA'!$C$33:$N$55,4,FALSE)," - ")</f>
        <v xml:space="preserve"> - </v>
      </c>
      <c r="F154" s="1139">
        <f>IF(A154&gt;0,SUMIFS('Project Income &amp; UA'!$G$33:$G$55,'Project Income &amp; UA'!$C$33:$C$55,A154),)</f>
        <v>0</v>
      </c>
      <c r="G154" s="1139"/>
      <c r="H154" s="1138">
        <f>_xlfn.IFNA(VLOOKUP($A154,'Project Income &amp; UA'!$C$33:$N$55,6,FALSE),)</f>
        <v>0</v>
      </c>
      <c r="I154" s="1138">
        <f>_xlfn.IFNA(VLOOKUP($A154,'Project Income &amp; UA'!$C$33:$N$55,7,FALSE),)</f>
        <v>0</v>
      </c>
      <c r="J154" s="1138">
        <f t="shared" ref="J154:J177" si="32">H154-I154</f>
        <v>0</v>
      </c>
      <c r="K154" s="1155">
        <f>_xlfn.IFNA(VLOOKUP($A154,'Project Income &amp; UA'!$C$33:$N$55,9,FALSE),)</f>
        <v>0</v>
      </c>
      <c r="L154" s="1155">
        <f>_xlfn.IFNA(VLOOKUP($A154,'Project Income &amp; UA'!$C$33:$N$55,11,FALSE),)</f>
        <v>0</v>
      </c>
      <c r="M154" s="1363">
        <f t="shared" ref="M154:M177" si="33">IF(F154="","",IF(E154="Mkt",F154*MIN(K154,L154)*12,F154*MIN(J154,K154,L154)*12))</f>
        <v>0</v>
      </c>
      <c r="N154" s="407">
        <f>_xlfn.IFNA(VLOOKUP($A154,'Project Income &amp; UA'!$C$33:$R$55,16,FALSE),)</f>
        <v>0</v>
      </c>
      <c r="O154" s="397">
        <f t="shared" si="30"/>
        <v>0</v>
      </c>
      <c r="Q154" s="402" t="s">
        <v>5</v>
      </c>
      <c r="T154" s="418"/>
      <c r="U154" s="494">
        <f>'Operating Budget'!E9</f>
        <v>0</v>
      </c>
      <c r="V154" s="494">
        <f t="shared" ref="V154:V160" si="34">IF($G$5=0,0,U154/$G$5)</f>
        <v>0</v>
      </c>
      <c r="W154" s="495">
        <f t="shared" ref="W154:W160" si="35">V154/12</f>
        <v>0</v>
      </c>
      <c r="AE154" s="636">
        <f t="shared" si="31"/>
        <v>0</v>
      </c>
      <c r="AH154" s="496" t="s">
        <v>619</v>
      </c>
    </row>
    <row r="155" spans="1:39" x14ac:dyDescent="0.2">
      <c r="A155" s="1212">
        <f>IF(AND(COUNT('Project Income &amp; UA'!$E$33:$E$55)&lt;9,A154=0,A153&lt;&gt;0),0,_xlfn.IFNA(IF(A154=0,MAX($A$153:A154)+1,IF(VLOOKUP(A154,'Project Income &amp; UA'!$C$33:$X$55,3,FALSE)=VLOOKUP(A154+1,'Project Income &amp; UA'!$C$33:$X$55,3,FALSE),A154+1,IF(A154=0,MAX($A$153:A154)+1,0))),))</f>
        <v>1</v>
      </c>
      <c r="B155" s="1212"/>
      <c r="D155" s="1314" t="str">
        <f>_xlfn.IFNA(VLOOKUP(A155,'Project Income &amp; UA'!$C$33:$N$55,3,FALSE)&amp;" BR","")</f>
        <v/>
      </c>
      <c r="E155" s="1159" t="str">
        <f>_xlfn.IFNA(VLOOKUP(A155,'Project Income &amp; UA'!$C$33:$N$55,4,FALSE)," - ")</f>
        <v xml:space="preserve"> - </v>
      </c>
      <c r="F155" s="1138">
        <f>IF(A155&gt;0,SUMIFS('Project Income &amp; UA'!$G$33:$G$55,'Project Income &amp; UA'!$C$33:$C$55,A155),)</f>
        <v>0</v>
      </c>
      <c r="G155" s="1138"/>
      <c r="H155" s="1138">
        <f>_xlfn.IFNA(VLOOKUP($A155,'Project Income &amp; UA'!$C$33:$N$55,6,FALSE),)</f>
        <v>0</v>
      </c>
      <c r="I155" s="1138">
        <f>_xlfn.IFNA(VLOOKUP($A155,'Project Income &amp; UA'!$C$33:$N$55,7,FALSE),)</f>
        <v>0</v>
      </c>
      <c r="J155" s="1138">
        <f t="shared" si="32"/>
        <v>0</v>
      </c>
      <c r="K155" s="1155">
        <f>_xlfn.IFNA(VLOOKUP($A155,'Project Income &amp; UA'!$C$33:$N$55,9,FALSE),)</f>
        <v>0</v>
      </c>
      <c r="L155" s="1155">
        <f>_xlfn.IFNA(VLOOKUP($A155,'Project Income &amp; UA'!$C$33:$N$55,11,FALSE),)</f>
        <v>0</v>
      </c>
      <c r="M155" s="1363">
        <f t="shared" si="33"/>
        <v>0</v>
      </c>
      <c r="N155" s="407">
        <f>_xlfn.IFNA(VLOOKUP($A155,'Project Income &amp; UA'!$C$33:$R$55,16,FALSE),)</f>
        <v>0</v>
      </c>
      <c r="O155" s="397">
        <f t="shared" si="30"/>
        <v>0</v>
      </c>
      <c r="Q155" s="402" t="s">
        <v>32</v>
      </c>
      <c r="U155" s="494">
        <f>'Operating Budget'!E23</f>
        <v>0</v>
      </c>
      <c r="V155" s="494">
        <f t="shared" si="34"/>
        <v>0</v>
      </c>
      <c r="W155" s="495">
        <f t="shared" si="35"/>
        <v>0</v>
      </c>
      <c r="AE155" s="636">
        <f t="shared" si="31"/>
        <v>0</v>
      </c>
    </row>
    <row r="156" spans="1:39" x14ac:dyDescent="0.2">
      <c r="A156" s="1212">
        <f>IF(AND(COUNT('Project Income &amp; UA'!$E$33:$E$55)&lt;9,A155=0,A154&lt;&gt;0),0,_xlfn.IFNA(IF(A155=0,MAX($A$153:A155)+1,IF(VLOOKUP(A155,'Project Income &amp; UA'!$C$33:$X$55,3,FALSE)=VLOOKUP(A155+1,'Project Income &amp; UA'!$C$33:$X$55,3,FALSE),A155+1,IF(A155=0,MAX($A$153:A155)+1,0))),))</f>
        <v>0</v>
      </c>
      <c r="B156" s="1212"/>
      <c r="D156" s="1314" t="str">
        <f>_xlfn.IFNA(VLOOKUP(A156,'Project Income &amp; UA'!$C$33:$N$55,3,FALSE)&amp;" BR","")</f>
        <v/>
      </c>
      <c r="E156" s="1159" t="str">
        <f>_xlfn.IFNA(VLOOKUP(A156,'Project Income &amp; UA'!$C$33:$N$55,4,FALSE)," - ")</f>
        <v xml:space="preserve"> - </v>
      </c>
      <c r="F156" s="1139">
        <f>IF(A156&gt;0,SUMIFS('Project Income &amp; UA'!$G$33:$G$55,'Project Income &amp; UA'!$C$33:$C$55,A156),)</f>
        <v>0</v>
      </c>
      <c r="G156" s="1139"/>
      <c r="H156" s="1138">
        <f>_xlfn.IFNA(VLOOKUP($A156,'Project Income &amp; UA'!$C$33:$N$55,6,FALSE),)</f>
        <v>0</v>
      </c>
      <c r="I156" s="1138">
        <f>_xlfn.IFNA(VLOOKUP($A156,'Project Income &amp; UA'!$C$33:$N$55,7,FALSE),)</f>
        <v>0</v>
      </c>
      <c r="J156" s="1138">
        <f t="shared" si="32"/>
        <v>0</v>
      </c>
      <c r="K156" s="1155">
        <f>_xlfn.IFNA(VLOOKUP($A156,'Project Income &amp; UA'!$C$33:$N$55,9,FALSE),)</f>
        <v>0</v>
      </c>
      <c r="L156" s="1155">
        <f>_xlfn.IFNA(VLOOKUP($A156,'Project Income &amp; UA'!$C$33:$N$55,11,FALSE),)</f>
        <v>0</v>
      </c>
      <c r="M156" s="1363">
        <f t="shared" si="33"/>
        <v>0</v>
      </c>
      <c r="N156" s="407">
        <f>_xlfn.IFNA(VLOOKUP($A156,'Project Income &amp; UA'!$C$33:$R$55,16,FALSE),)</f>
        <v>0</v>
      </c>
      <c r="O156" s="397">
        <f t="shared" si="30"/>
        <v>0</v>
      </c>
      <c r="Q156" s="402" t="s">
        <v>6</v>
      </c>
      <c r="U156" s="494">
        <f>'Operating Budget'!E25</f>
        <v>0</v>
      </c>
      <c r="V156" s="494">
        <f t="shared" si="34"/>
        <v>0</v>
      </c>
      <c r="W156" s="495">
        <f t="shared" si="35"/>
        <v>0</v>
      </c>
      <c r="AE156" s="636">
        <f t="shared" si="31"/>
        <v>0</v>
      </c>
      <c r="AH156" s="397" t="s">
        <v>302</v>
      </c>
      <c r="AJ156" s="472">
        <f>SUMIFS(F153:F177,AE153:AE177,"&gt;="&amp;2,E153:E177,"&lt;&gt;"&amp;"Mkt")</f>
        <v>0</v>
      </c>
      <c r="AK156" s="497">
        <f>IF(AJ156=0,0,(AJ156/AJ160))</f>
        <v>0</v>
      </c>
      <c r="AL156" s="398"/>
    </row>
    <row r="157" spans="1:39" x14ac:dyDescent="0.2">
      <c r="A157" s="1212">
        <f>IF(AND(COUNT('Project Income &amp; UA'!$E$33:$E$55)&lt;9,A156=0,A155&lt;&gt;0),0,_xlfn.IFNA(IF(A156=0,MAX($A$153:A156)+1,IF(VLOOKUP(A156,'Project Income &amp; UA'!$C$33:$X$55,3,FALSE)=VLOOKUP(A156+1,'Project Income &amp; UA'!$C$33:$X$55,3,FALSE),A156+1,IF(A156=0,MAX($A$153:A156)+1,0))),))</f>
        <v>0</v>
      </c>
      <c r="B157" s="1212"/>
      <c r="D157" s="1314" t="str">
        <f>_xlfn.IFNA(VLOOKUP(A157,'Project Income &amp; UA'!$C$33:$N$55,3,FALSE)&amp;" BR","")</f>
        <v/>
      </c>
      <c r="E157" s="1159" t="str">
        <f>_xlfn.IFNA(VLOOKUP(A157,'Project Income &amp; UA'!$C$33:$N$55,4,FALSE)," - ")</f>
        <v xml:space="preserve"> - </v>
      </c>
      <c r="F157" s="1139">
        <f>IF(A157&gt;0,SUMIFS('Project Income &amp; UA'!$G$33:$G$55,'Project Income &amp; UA'!$C$33:$C$55,A157),)</f>
        <v>0</v>
      </c>
      <c r="G157" s="1139"/>
      <c r="H157" s="1138">
        <f>_xlfn.IFNA(VLOOKUP($A157,'Project Income &amp; UA'!$C$33:$N$55,6,FALSE),)</f>
        <v>0</v>
      </c>
      <c r="I157" s="1138">
        <f>_xlfn.IFNA(VLOOKUP($A157,'Project Income &amp; UA'!$C$33:$N$55,7,FALSE),)</f>
        <v>0</v>
      </c>
      <c r="J157" s="1138">
        <f t="shared" si="32"/>
        <v>0</v>
      </c>
      <c r="K157" s="1155">
        <f>_xlfn.IFNA(VLOOKUP($A157,'Project Income &amp; UA'!$C$33:$N$55,9,FALSE),)</f>
        <v>0</v>
      </c>
      <c r="L157" s="1155">
        <f>_xlfn.IFNA(VLOOKUP($A157,'Project Income &amp; UA'!$C$33:$N$55,11,FALSE),)</f>
        <v>0</v>
      </c>
      <c r="M157" s="1363">
        <f t="shared" si="33"/>
        <v>0</v>
      </c>
      <c r="N157" s="407">
        <f>_xlfn.IFNA(VLOOKUP($A157,'Project Income &amp; UA'!$C$33:$R$55,16,FALSE),)</f>
        <v>0</v>
      </c>
      <c r="O157" s="397">
        <f t="shared" si="30"/>
        <v>0</v>
      </c>
      <c r="Q157" s="402" t="s">
        <v>7</v>
      </c>
      <c r="U157" s="494">
        <f>'Operating Budget'!E27</f>
        <v>0</v>
      </c>
      <c r="V157" s="494">
        <f t="shared" si="34"/>
        <v>0</v>
      </c>
      <c r="W157" s="495">
        <f t="shared" si="35"/>
        <v>0</v>
      </c>
      <c r="AE157" s="636">
        <f t="shared" si="31"/>
        <v>0</v>
      </c>
      <c r="AH157" s="397" t="s">
        <v>301</v>
      </c>
      <c r="AJ157" s="472">
        <f>SUMIFS(F153:F177,AE153:AE177,"&gt;="&amp;3,E153:E177,"&lt;&gt;"&amp;"Mkt")</f>
        <v>0</v>
      </c>
      <c r="AK157" s="497">
        <f>IF(AJ157=0,0,(AJ157/AJ160))</f>
        <v>0</v>
      </c>
      <c r="AL157" s="398">
        <f>IF(AK157&lt;0.2,IF(AK156&gt;=0.7,3,0),IF(AK156&gt;=0.5,6,0))</f>
        <v>0</v>
      </c>
      <c r="AM157" s="397" t="s">
        <v>300</v>
      </c>
    </row>
    <row r="158" spans="1:39" x14ac:dyDescent="0.2">
      <c r="A158" s="1212">
        <f>IF(AND(COUNT('Project Income &amp; UA'!$E$33:$E$55)&lt;9,A157=0,A156&lt;&gt;0),0,_xlfn.IFNA(IF(A157=0,MAX($A$153:A157)+1,IF(VLOOKUP(A157,'Project Income &amp; UA'!$C$33:$X$55,3,FALSE)=VLOOKUP(A157+1,'Project Income &amp; UA'!$C$33:$X$55,3,FALSE),A157+1,IF(A157=0,MAX($A$153:A157)+1,0))),))</f>
        <v>2</v>
      </c>
      <c r="B158" s="1212"/>
      <c r="D158" s="1314" t="str">
        <f>_xlfn.IFNA(VLOOKUP(A158,'Project Income &amp; UA'!$C$33:$N$55,3,FALSE)&amp;" BR","")</f>
        <v/>
      </c>
      <c r="E158" s="1159" t="str">
        <f>_xlfn.IFNA(VLOOKUP(A158,'Project Income &amp; UA'!$C$33:$N$55,4,FALSE)," - ")</f>
        <v xml:space="preserve"> - </v>
      </c>
      <c r="F158" s="1139">
        <f>IF(A158&gt;0,SUMIFS('Project Income &amp; UA'!$G$33:$G$55,'Project Income &amp; UA'!$C$33:$C$55,A158),)</f>
        <v>0</v>
      </c>
      <c r="G158" s="1139"/>
      <c r="H158" s="1138">
        <f>_xlfn.IFNA(VLOOKUP($A158,'Project Income &amp; UA'!$C$33:$N$55,6,FALSE),)</f>
        <v>0</v>
      </c>
      <c r="I158" s="1138">
        <f>_xlfn.IFNA(VLOOKUP($A158,'Project Income &amp; UA'!$C$33:$N$55,7,FALSE),)</f>
        <v>0</v>
      </c>
      <c r="J158" s="1138">
        <f t="shared" si="32"/>
        <v>0</v>
      </c>
      <c r="K158" s="1155">
        <f>_xlfn.IFNA(VLOOKUP($A158,'Project Income &amp; UA'!$C$33:$N$55,9,FALSE),)</f>
        <v>0</v>
      </c>
      <c r="L158" s="1155">
        <f>_xlfn.IFNA(VLOOKUP($A158,'Project Income &amp; UA'!$C$33:$N$55,11,FALSE),)</f>
        <v>0</v>
      </c>
      <c r="M158" s="1363">
        <f t="shared" si="33"/>
        <v>0</v>
      </c>
      <c r="N158" s="407">
        <f>_xlfn.IFNA(VLOOKUP($A158,'Project Income &amp; UA'!$C$33:$R$55,16,FALSE),)</f>
        <v>0</v>
      </c>
      <c r="O158" s="397">
        <f t="shared" si="30"/>
        <v>0</v>
      </c>
      <c r="P158" s="407"/>
      <c r="Q158" s="402" t="s">
        <v>8</v>
      </c>
      <c r="U158" s="494">
        <f>'Operating Budget'!E29</f>
        <v>0</v>
      </c>
      <c r="V158" s="494">
        <f t="shared" si="34"/>
        <v>0</v>
      </c>
      <c r="W158" s="495">
        <f t="shared" si="35"/>
        <v>0</v>
      </c>
      <c r="AE158" s="636">
        <f t="shared" si="31"/>
        <v>0</v>
      </c>
      <c r="AJ158" s="470"/>
    </row>
    <row r="159" spans="1:39" outlineLevel="2" x14ac:dyDescent="0.2">
      <c r="A159" s="1212">
        <f>IF(AND(COUNT('Project Income &amp; UA'!$E$33:$E$55)&lt;9,A158=0,A157&lt;&gt;0),0,_xlfn.IFNA(IF(A158=0,MAX($A$153:A158)+1,IF(VLOOKUP(A158,'Project Income &amp; UA'!$C$33:$X$55,3,FALSE)=VLOOKUP(A158+1,'Project Income &amp; UA'!$C$33:$X$55,3,FALSE),A158+1,IF(A158=0,MAX($A$153:A158)+1,0))),))</f>
        <v>0</v>
      </c>
      <c r="B159" s="1212"/>
      <c r="D159" s="1314" t="str">
        <f>_xlfn.IFNA(VLOOKUP(A159,'Project Income &amp; UA'!$C$33:$N$55,3,FALSE)&amp;" BR","")</f>
        <v/>
      </c>
      <c r="E159" s="1159" t="str">
        <f>_xlfn.IFNA(VLOOKUP(A159,'Project Income &amp; UA'!$C$33:$N$55,4,FALSE)," - ")</f>
        <v xml:space="preserve"> - </v>
      </c>
      <c r="F159" s="1139">
        <f>IF(A159&gt;0,SUMIFS('Project Income &amp; UA'!$G$33:$G$55,'Project Income &amp; UA'!$C$33:$C$55,A159),)</f>
        <v>0</v>
      </c>
      <c r="G159" s="1139"/>
      <c r="H159" s="1138">
        <f>_xlfn.IFNA(VLOOKUP($A159,'Project Income &amp; UA'!$C$33:$N$55,6,FALSE),)</f>
        <v>0</v>
      </c>
      <c r="I159" s="1138">
        <f>_xlfn.IFNA(VLOOKUP($A159,'Project Income &amp; UA'!$C$33:$N$55,7,FALSE),)</f>
        <v>0</v>
      </c>
      <c r="J159" s="1138">
        <f t="shared" si="32"/>
        <v>0</v>
      </c>
      <c r="K159" s="1155">
        <f>_xlfn.IFNA(VLOOKUP($A159,'Project Income &amp; UA'!$C$33:$N$55,9,FALSE),)</f>
        <v>0</v>
      </c>
      <c r="L159" s="1155">
        <f>_xlfn.IFNA(VLOOKUP($A159,'Project Income &amp; UA'!$C$33:$N$55,11,FALSE),)</f>
        <v>0</v>
      </c>
      <c r="M159" s="1363">
        <f t="shared" si="33"/>
        <v>0</v>
      </c>
      <c r="N159" s="407">
        <f>_xlfn.IFNA(VLOOKUP($A159,'Project Income &amp; UA'!$C$33:$R$55,16,FALSE),)</f>
        <v>0</v>
      </c>
      <c r="O159" s="397">
        <f t="shared" si="30"/>
        <v>0</v>
      </c>
      <c r="P159" s="407"/>
      <c r="Q159" s="409" t="s">
        <v>9</v>
      </c>
      <c r="R159" s="412"/>
      <c r="S159" s="412"/>
      <c r="T159" s="412"/>
      <c r="U159" s="498">
        <f>'Operating Budget'!E31</f>
        <v>0</v>
      </c>
      <c r="V159" s="498">
        <f t="shared" si="34"/>
        <v>0</v>
      </c>
      <c r="W159" s="499">
        <f t="shared" si="35"/>
        <v>0</v>
      </c>
      <c r="AE159" s="636">
        <f t="shared" si="31"/>
        <v>0</v>
      </c>
      <c r="AJ159" s="470"/>
    </row>
    <row r="160" spans="1:39" outlineLevel="2" x14ac:dyDescent="0.2">
      <c r="A160" s="1212">
        <f>IF(AND(COUNT('Project Income &amp; UA'!$E$33:$E$55)&lt;9,A159=0,A158&lt;&gt;0),0,_xlfn.IFNA(IF(A159=0,MAX($A$153:A159)+1,IF(VLOOKUP(A159,'Project Income &amp; UA'!$C$33:$X$55,3,FALSE)=VLOOKUP(A159+1,'Project Income &amp; UA'!$C$33:$X$55,3,FALSE),A159+1,IF(A159=0,MAX($A$153:A159)+1,0))),))</f>
        <v>0</v>
      </c>
      <c r="B160" s="1212"/>
      <c r="D160" s="1314" t="str">
        <f>_xlfn.IFNA(VLOOKUP(A160,'Project Income &amp; UA'!$C$33:$N$55,3,FALSE)&amp;" BR","")</f>
        <v/>
      </c>
      <c r="E160" s="1159" t="str">
        <f>_xlfn.IFNA(VLOOKUP(A160,'Project Income &amp; UA'!$C$33:$N$55,4,FALSE)," - ")</f>
        <v xml:space="preserve"> - </v>
      </c>
      <c r="F160" s="1139">
        <f>IF(A160&gt;0,SUMIFS('Project Income &amp; UA'!$G$33:$G$55,'Project Income &amp; UA'!$C$33:$C$55,A160),)</f>
        <v>0</v>
      </c>
      <c r="G160" s="1139"/>
      <c r="H160" s="1138">
        <f>_xlfn.IFNA(VLOOKUP($A160,'Project Income &amp; UA'!$C$33:$N$55,6,FALSE),)</f>
        <v>0</v>
      </c>
      <c r="I160" s="1138">
        <f>_xlfn.IFNA(VLOOKUP($A160,'Project Income &amp; UA'!$C$33:$N$55,7,FALSE),)</f>
        <v>0</v>
      </c>
      <c r="J160" s="1138">
        <f t="shared" si="32"/>
        <v>0</v>
      </c>
      <c r="K160" s="1155">
        <f>_xlfn.IFNA(VLOOKUP($A160,'Project Income &amp; UA'!$C$33:$N$55,9,FALSE),)</f>
        <v>0</v>
      </c>
      <c r="L160" s="1155">
        <f>_xlfn.IFNA(VLOOKUP($A160,'Project Income &amp; UA'!$C$33:$N$55,11,FALSE),)</f>
        <v>0</v>
      </c>
      <c r="M160" s="1363">
        <f t="shared" si="33"/>
        <v>0</v>
      </c>
      <c r="N160" s="407">
        <f>_xlfn.IFNA(VLOOKUP($A160,'Project Income &amp; UA'!$C$33:$R$55,16,FALSE),)</f>
        <v>0</v>
      </c>
      <c r="O160" s="397">
        <f t="shared" si="30"/>
        <v>0</v>
      </c>
      <c r="P160" s="407"/>
      <c r="Q160" s="621" t="s">
        <v>299</v>
      </c>
      <c r="R160" s="611"/>
      <c r="S160" s="611"/>
      <c r="T160" s="611"/>
      <c r="U160" s="659">
        <f>SUM(U154:U159)</f>
        <v>0</v>
      </c>
      <c r="V160" s="659">
        <f t="shared" si="34"/>
        <v>0</v>
      </c>
      <c r="W160" s="660">
        <f t="shared" si="35"/>
        <v>0</v>
      </c>
      <c r="AE160" s="636">
        <f t="shared" si="31"/>
        <v>0</v>
      </c>
      <c r="AH160" s="397" t="s">
        <v>298</v>
      </c>
      <c r="AJ160" s="472">
        <f>SUMIFS(F153:F177,E153:E177,"&lt;&gt;"&amp;"Mkt")</f>
        <v>0</v>
      </c>
    </row>
    <row r="161" spans="1:31" outlineLevel="2" x14ac:dyDescent="0.2">
      <c r="A161" s="1212">
        <f>IF(AND(COUNT('Project Income &amp; UA'!$E$33:$E$55)&lt;9,A160=0,A159&lt;&gt;0),0,_xlfn.IFNA(IF(A160=0,MAX($A$153:A160)+1,IF(VLOOKUP(A160,'Project Income &amp; UA'!$C$33:$X$55,3,FALSE)=VLOOKUP(A160+1,'Project Income &amp; UA'!$C$33:$X$55,3,FALSE),A160+1,IF(A160=0,MAX($A$153:A160)+1,0))),))</f>
        <v>3</v>
      </c>
      <c r="B161" s="1212"/>
      <c r="D161" s="1314" t="str">
        <f>_xlfn.IFNA(VLOOKUP(A161,'Project Income &amp; UA'!$C$33:$N$55,3,FALSE)&amp;" BR","")</f>
        <v/>
      </c>
      <c r="E161" s="1159" t="str">
        <f>_xlfn.IFNA(VLOOKUP(A161,'Project Income &amp; UA'!$C$33:$N$55,4,FALSE)," - ")</f>
        <v xml:space="preserve"> - </v>
      </c>
      <c r="F161" s="1139">
        <f>IF(A161&gt;0,SUMIFS('Project Income &amp; UA'!$G$33:$G$55,'Project Income &amp; UA'!$C$33:$C$55,A161),)</f>
        <v>0</v>
      </c>
      <c r="G161" s="1139"/>
      <c r="H161" s="1138">
        <f>_xlfn.IFNA(VLOOKUP($A161,'Project Income &amp; UA'!$C$33:$N$55,6,FALSE),)</f>
        <v>0</v>
      </c>
      <c r="I161" s="1138">
        <f>_xlfn.IFNA(VLOOKUP($A161,'Project Income &amp; UA'!$C$33:$N$55,7,FALSE),)</f>
        <v>0</v>
      </c>
      <c r="J161" s="1138">
        <f t="shared" si="32"/>
        <v>0</v>
      </c>
      <c r="K161" s="1155">
        <f>_xlfn.IFNA(VLOOKUP($A161,'Project Income &amp; UA'!$C$33:$N$55,9,FALSE),)</f>
        <v>0</v>
      </c>
      <c r="L161" s="1155">
        <f>_xlfn.IFNA(VLOOKUP($A161,'Project Income &amp; UA'!$C$33:$N$55,11,FALSE),)</f>
        <v>0</v>
      </c>
      <c r="M161" s="1363">
        <f t="shared" si="33"/>
        <v>0</v>
      </c>
      <c r="N161" s="407">
        <f>_xlfn.IFNA(VLOOKUP($A161,'Project Income &amp; UA'!$C$33:$R$55,16,FALSE),)</f>
        <v>0</v>
      </c>
      <c r="O161" s="397">
        <f t="shared" si="30"/>
        <v>0</v>
      </c>
      <c r="P161" s="407"/>
      <c r="Q161" s="402" t="s">
        <v>297</v>
      </c>
      <c r="U161" s="494"/>
      <c r="V161" s="494"/>
      <c r="W161" s="495"/>
      <c r="AA161" s="418"/>
      <c r="AB161" s="1165"/>
      <c r="AE161" s="636">
        <f t="shared" si="31"/>
        <v>0</v>
      </c>
    </row>
    <row r="162" spans="1:31" outlineLevel="2" x14ac:dyDescent="0.2">
      <c r="A162" s="1212">
        <f>IF(AND(COUNT('Project Income &amp; UA'!$E$33:$E$55)&lt;9,A161=0,A160&lt;&gt;0),0,_xlfn.IFNA(IF(A161=0,MAX($A$153:A161)+1,IF(VLOOKUP(A161,'Project Income &amp; UA'!$C$33:$X$55,3,FALSE)=VLOOKUP(A161+1,'Project Income &amp; UA'!$C$33:$X$55,3,FALSE),A161+1,IF(A161=0,MAX($A$153:A161)+1,0))),))</f>
        <v>0</v>
      </c>
      <c r="B162" s="1212"/>
      <c r="D162" s="1314" t="str">
        <f>_xlfn.IFNA(VLOOKUP(A162,'Project Income &amp; UA'!$C$33:$N$55,3,FALSE)&amp;" BR","")</f>
        <v/>
      </c>
      <c r="E162" s="1159" t="str">
        <f>_xlfn.IFNA(VLOOKUP(A162,'Project Income &amp; UA'!$C$33:$N$55,4,FALSE)," - ")</f>
        <v xml:space="preserve"> - </v>
      </c>
      <c r="F162" s="1139">
        <f>IF(A162&gt;0,SUMIFS('Project Income &amp; UA'!$G$33:$G$55,'Project Income &amp; UA'!$C$33:$C$55,A162),)</f>
        <v>0</v>
      </c>
      <c r="G162" s="1139"/>
      <c r="H162" s="1138">
        <f>_xlfn.IFNA(VLOOKUP($A162,'Project Income &amp; UA'!$C$33:$N$55,6,FALSE),)</f>
        <v>0</v>
      </c>
      <c r="I162" s="1138">
        <f>_xlfn.IFNA(VLOOKUP($A162,'Project Income &amp; UA'!$C$33:$N$55,7,FALSE),)</f>
        <v>0</v>
      </c>
      <c r="J162" s="1138">
        <f t="shared" si="32"/>
        <v>0</v>
      </c>
      <c r="K162" s="1155">
        <f>_xlfn.IFNA(VLOOKUP($A162,'Project Income &amp; UA'!$C$33:$N$55,9,FALSE),)</f>
        <v>0</v>
      </c>
      <c r="L162" s="1155">
        <f>_xlfn.IFNA(VLOOKUP($A162,'Project Income &amp; UA'!$C$33:$N$55,11,FALSE),)</f>
        <v>0</v>
      </c>
      <c r="M162" s="1363">
        <f t="shared" si="33"/>
        <v>0</v>
      </c>
      <c r="N162" s="407">
        <f>_xlfn.IFNA(VLOOKUP($A162,'Project Income &amp; UA'!$C$33:$R$55,16,FALSE),)</f>
        <v>0</v>
      </c>
      <c r="O162" s="397">
        <f t="shared" si="30"/>
        <v>0</v>
      </c>
      <c r="P162" s="407"/>
      <c r="Q162" s="402" t="s">
        <v>10</v>
      </c>
      <c r="U162" s="494">
        <f>'Operating Budget'!E36</f>
        <v>0</v>
      </c>
      <c r="V162" s="494">
        <f t="shared" ref="V162:V171" si="36">IF($G$5=0,0,U162/$G$5)</f>
        <v>0</v>
      </c>
      <c r="W162" s="495">
        <f t="shared" ref="W162:W171" si="37">V162/12</f>
        <v>0</v>
      </c>
      <c r="AE162" s="636">
        <f t="shared" si="31"/>
        <v>0</v>
      </c>
    </row>
    <row r="163" spans="1:31" outlineLevel="2" x14ac:dyDescent="0.2">
      <c r="A163" s="1212">
        <f>IF(AND(COUNT('Project Income &amp; UA'!$E$33:$E$55)&lt;9,A162=0,A161&lt;&gt;0),0,_xlfn.IFNA(IF(A162=0,MAX($A$153:A162)+1,IF(VLOOKUP(A162,'Project Income &amp; UA'!$C$33:$X$55,3,FALSE)=VLOOKUP(A162+1,'Project Income &amp; UA'!$C$33:$X$55,3,FALSE),A162+1,IF(A162=0,MAX($A$153:A162)+1,0))),))</f>
        <v>0</v>
      </c>
      <c r="B163" s="1212"/>
      <c r="D163" s="1314" t="str">
        <f>_xlfn.IFNA(VLOOKUP(A163,'Project Income &amp; UA'!$C$33:$N$55,3,FALSE)&amp;" BR","")</f>
        <v/>
      </c>
      <c r="E163" s="1159" t="str">
        <f>_xlfn.IFNA(VLOOKUP(A163,'Project Income &amp; UA'!$C$33:$N$55,4,FALSE)," - ")</f>
        <v xml:space="preserve"> - </v>
      </c>
      <c r="F163" s="1139">
        <f>IF(A163&gt;0,SUMIFS('Project Income &amp; UA'!$G$33:$G$55,'Project Income &amp; UA'!$C$33:$C$55,A163),)</f>
        <v>0</v>
      </c>
      <c r="G163" s="1139"/>
      <c r="H163" s="1138">
        <f>_xlfn.IFNA(VLOOKUP($A163,'Project Income &amp; UA'!$C$33:$N$55,6,FALSE),)</f>
        <v>0</v>
      </c>
      <c r="I163" s="1138">
        <f>_xlfn.IFNA(VLOOKUP($A163,'Project Income &amp; UA'!$C$33:$N$55,7,FALSE),)</f>
        <v>0</v>
      </c>
      <c r="J163" s="1138">
        <f t="shared" si="32"/>
        <v>0</v>
      </c>
      <c r="K163" s="1155">
        <f>_xlfn.IFNA(VLOOKUP($A163,'Project Income &amp; UA'!$C$33:$N$55,9,FALSE),)</f>
        <v>0</v>
      </c>
      <c r="L163" s="1155">
        <f>_xlfn.IFNA(VLOOKUP($A163,'Project Income &amp; UA'!$C$33:$N$55,11,FALSE),)</f>
        <v>0</v>
      </c>
      <c r="M163" s="1363">
        <f t="shared" si="33"/>
        <v>0</v>
      </c>
      <c r="N163" s="407">
        <f>_xlfn.IFNA(VLOOKUP($A163,'Project Income &amp; UA'!$C$33:$R$55,16,FALSE),)</f>
        <v>0</v>
      </c>
      <c r="O163" s="397">
        <f t="shared" si="30"/>
        <v>0</v>
      </c>
      <c r="P163" s="407"/>
      <c r="Q163" s="402" t="s">
        <v>11</v>
      </c>
      <c r="U163" s="494">
        <f>'Operating Budget'!E38</f>
        <v>0</v>
      </c>
      <c r="V163" s="494">
        <f t="shared" si="36"/>
        <v>0</v>
      </c>
      <c r="W163" s="495">
        <f t="shared" si="37"/>
        <v>0</v>
      </c>
      <c r="AE163" s="636">
        <f t="shared" si="31"/>
        <v>0</v>
      </c>
    </row>
    <row r="164" spans="1:31" outlineLevel="2" x14ac:dyDescent="0.2">
      <c r="A164" s="1212">
        <f>IF(AND(COUNT('Project Income &amp; UA'!$E$33:$E$55)&lt;9,A163=0,A162&lt;&gt;0),0,_xlfn.IFNA(IF(A163=0,MAX($A$153:A163)+1,IF(VLOOKUP(A163,'Project Income &amp; UA'!$C$33:$X$55,3,FALSE)=VLOOKUP(A163+1,'Project Income &amp; UA'!$C$33:$X$55,3,FALSE),A163+1,IF(A163=0,MAX($A$153:A163)+1,0))),))</f>
        <v>4</v>
      </c>
      <c r="B164" s="1212"/>
      <c r="D164" s="1314" t="str">
        <f>_xlfn.IFNA(VLOOKUP(A164,'Project Income &amp; UA'!$C$33:$N$55,3,FALSE)&amp;" BR","")</f>
        <v/>
      </c>
      <c r="E164" s="1159" t="str">
        <f>_xlfn.IFNA(VLOOKUP(A164,'Project Income &amp; UA'!$C$33:$N$55,4,FALSE)," - ")</f>
        <v xml:space="preserve"> - </v>
      </c>
      <c r="F164" s="1139">
        <f>IF(A164&gt;0,SUMIFS('Project Income &amp; UA'!$G$33:$G$55,'Project Income &amp; UA'!$C$33:$C$55,A164),)</f>
        <v>0</v>
      </c>
      <c r="G164" s="1139"/>
      <c r="H164" s="1138">
        <f>_xlfn.IFNA(VLOOKUP($A164,'Project Income &amp; UA'!$C$33:$N$55,6,FALSE),)</f>
        <v>0</v>
      </c>
      <c r="I164" s="1138">
        <f>_xlfn.IFNA(VLOOKUP($A164,'Project Income &amp; UA'!$C$33:$N$55,7,FALSE),)</f>
        <v>0</v>
      </c>
      <c r="J164" s="1138">
        <f t="shared" si="32"/>
        <v>0</v>
      </c>
      <c r="K164" s="1155">
        <f>_xlfn.IFNA(VLOOKUP($A164,'Project Income &amp; UA'!$C$33:$N$55,9,FALSE),)</f>
        <v>0</v>
      </c>
      <c r="L164" s="1155">
        <f>_xlfn.IFNA(VLOOKUP($A164,'Project Income &amp; UA'!$C$33:$N$55,11,FALSE),)</f>
        <v>0</v>
      </c>
      <c r="M164" s="1363">
        <f t="shared" si="33"/>
        <v>0</v>
      </c>
      <c r="N164" s="407">
        <f>_xlfn.IFNA(VLOOKUP($A164,'Project Income &amp; UA'!$C$33:$R$55,16,FALSE),)</f>
        <v>0</v>
      </c>
      <c r="O164" s="397">
        <f t="shared" si="30"/>
        <v>0</v>
      </c>
      <c r="P164" s="407"/>
      <c r="Q164" s="402" t="s">
        <v>12</v>
      </c>
      <c r="U164" s="494">
        <f>'Operating Budget'!E40</f>
        <v>0</v>
      </c>
      <c r="V164" s="494">
        <f t="shared" si="36"/>
        <v>0</v>
      </c>
      <c r="W164" s="495">
        <f t="shared" si="37"/>
        <v>0</v>
      </c>
      <c r="AE164" s="636">
        <f t="shared" si="31"/>
        <v>0</v>
      </c>
    </row>
    <row r="165" spans="1:31" outlineLevel="2" x14ac:dyDescent="0.2">
      <c r="A165" s="1212">
        <f>IF(AND(COUNT('Project Income &amp; UA'!$E$33:$E$55)&lt;9,A164=0,A163&lt;&gt;0),0,_xlfn.IFNA(IF(A164=0,MAX($A$153:A164)+1,IF(VLOOKUP(A164,'Project Income &amp; UA'!$C$33:$X$55,3,FALSE)=VLOOKUP(A164+1,'Project Income &amp; UA'!$C$33:$X$55,3,FALSE),A164+1,IF(A164=0,MAX($A$153:A164)+1,0))),))</f>
        <v>0</v>
      </c>
      <c r="B165" s="1212"/>
      <c r="D165" s="1314" t="str">
        <f>_xlfn.IFNA(VLOOKUP(A165,'Project Income &amp; UA'!$C$33:$N$55,3,FALSE)&amp;" BR","")</f>
        <v/>
      </c>
      <c r="E165" s="1159" t="str">
        <f>_xlfn.IFNA(VLOOKUP(A165,'Project Income &amp; UA'!$C$33:$N$55,4,FALSE)," - ")</f>
        <v xml:space="preserve"> - </v>
      </c>
      <c r="F165" s="1139">
        <f>IF(A165&gt;0,SUMIFS('Project Income &amp; UA'!$G$33:$G$55,'Project Income &amp; UA'!$C$33:$C$55,A165),)</f>
        <v>0</v>
      </c>
      <c r="G165" s="1139"/>
      <c r="H165" s="1138">
        <f>_xlfn.IFNA(VLOOKUP($A165,'Project Income &amp; UA'!$C$33:$N$55,6,FALSE),)</f>
        <v>0</v>
      </c>
      <c r="I165" s="1138">
        <f>_xlfn.IFNA(VLOOKUP($A165,'Project Income &amp; UA'!$C$33:$N$55,7,FALSE),)</f>
        <v>0</v>
      </c>
      <c r="J165" s="1138">
        <f t="shared" si="32"/>
        <v>0</v>
      </c>
      <c r="K165" s="1155">
        <f>_xlfn.IFNA(VLOOKUP($A165,'Project Income &amp; UA'!$C$33:$N$55,9,FALSE),)</f>
        <v>0</v>
      </c>
      <c r="L165" s="1155">
        <f>_xlfn.IFNA(VLOOKUP($A165,'Project Income &amp; UA'!$C$33:$N$55,11,FALSE),)</f>
        <v>0</v>
      </c>
      <c r="M165" s="1363">
        <f t="shared" si="33"/>
        <v>0</v>
      </c>
      <c r="N165" s="407">
        <f>_xlfn.IFNA(VLOOKUP($A165,'Project Income &amp; UA'!$C$33:$R$55,16,FALSE),)</f>
        <v>0</v>
      </c>
      <c r="O165" s="397">
        <f t="shared" si="30"/>
        <v>0</v>
      </c>
      <c r="P165" s="407"/>
      <c r="Q165" s="402" t="s">
        <v>13</v>
      </c>
      <c r="U165" s="494">
        <f>'Operating Budget'!E42+'Operating Budget'!E44</f>
        <v>0</v>
      </c>
      <c r="V165" s="494">
        <f t="shared" si="36"/>
        <v>0</v>
      </c>
      <c r="W165" s="495">
        <f t="shared" si="37"/>
        <v>0</v>
      </c>
      <c r="AE165" s="636">
        <f t="shared" si="31"/>
        <v>0</v>
      </c>
    </row>
    <row r="166" spans="1:31" outlineLevel="2" x14ac:dyDescent="0.2">
      <c r="A166" s="1212">
        <f>IF(AND(COUNT('Project Income &amp; UA'!$E$33:$E$55)&lt;9,A165=0,A164&lt;&gt;0),0,_xlfn.IFNA(IF(A165=0,MAX($A$153:A165)+1,IF(VLOOKUP(A165,'Project Income &amp; UA'!$C$33:$X$55,3,FALSE)=VLOOKUP(A165+1,'Project Income &amp; UA'!$C$33:$X$55,3,FALSE),A165+1,IF(A165=0,MAX($A$153:A165)+1,0))),))</f>
        <v>0</v>
      </c>
      <c r="B166" s="1212"/>
      <c r="D166" s="1314" t="str">
        <f>_xlfn.IFNA(VLOOKUP(A166,'Project Income &amp; UA'!$C$33:$N$55,3,FALSE)&amp;" BR","")</f>
        <v/>
      </c>
      <c r="E166" s="1159" t="str">
        <f>_xlfn.IFNA(VLOOKUP(A166,'Project Income &amp; UA'!$C$33:$N$55,4,FALSE)," - ")</f>
        <v xml:space="preserve"> - </v>
      </c>
      <c r="F166" s="1139">
        <f>IF(A166&gt;0,SUMIFS('Project Income &amp; UA'!$G$33:$G$55,'Project Income &amp; UA'!$C$33:$C$55,A166),)</f>
        <v>0</v>
      </c>
      <c r="G166" s="1139"/>
      <c r="H166" s="1138">
        <f>_xlfn.IFNA(VLOOKUP($A166,'Project Income &amp; UA'!$C$33:$N$55,6,FALSE),)</f>
        <v>0</v>
      </c>
      <c r="I166" s="1138">
        <f>_xlfn.IFNA(VLOOKUP($A166,'Project Income &amp; UA'!$C$33:$N$55,7,FALSE),)</f>
        <v>0</v>
      </c>
      <c r="J166" s="1138">
        <f t="shared" si="32"/>
        <v>0</v>
      </c>
      <c r="K166" s="1155">
        <f>_xlfn.IFNA(VLOOKUP($A166,'Project Income &amp; UA'!$C$33:$N$55,9,FALSE),)</f>
        <v>0</v>
      </c>
      <c r="L166" s="1155">
        <f>_xlfn.IFNA(VLOOKUP($A166,'Project Income &amp; UA'!$C$33:$N$55,11,FALSE),)</f>
        <v>0</v>
      </c>
      <c r="M166" s="1363">
        <f t="shared" si="33"/>
        <v>0</v>
      </c>
      <c r="N166" s="407">
        <f>_xlfn.IFNA(VLOOKUP($A166,'Project Income &amp; UA'!$C$33:$R$55,16,FALSE),)</f>
        <v>0</v>
      </c>
      <c r="O166" s="397">
        <f t="shared" si="30"/>
        <v>0</v>
      </c>
      <c r="P166" s="407"/>
      <c r="Q166" s="402" t="s">
        <v>14</v>
      </c>
      <c r="U166" s="494">
        <f>'Operating Budget'!E46</f>
        <v>0</v>
      </c>
      <c r="V166" s="494">
        <f t="shared" si="36"/>
        <v>0</v>
      </c>
      <c r="W166" s="495">
        <f t="shared" si="37"/>
        <v>0</v>
      </c>
      <c r="AE166" s="636">
        <f t="shared" si="31"/>
        <v>0</v>
      </c>
    </row>
    <row r="167" spans="1:31" outlineLevel="2" x14ac:dyDescent="0.2">
      <c r="A167" s="1212">
        <f>IF(AND(COUNT('Project Income &amp; UA'!$E$33:$E$55)&lt;9,A166=0,A165&lt;&gt;0),0,_xlfn.IFNA(IF(A166=0,MAX($A$153:A166)+1,IF(VLOOKUP(A166,'Project Income &amp; UA'!$C$33:$X$55,3,FALSE)=VLOOKUP(A166+1,'Project Income &amp; UA'!$C$33:$X$55,3,FALSE),A166+1,IF(A166=0,MAX($A$153:A166)+1,0))),))</f>
        <v>5</v>
      </c>
      <c r="B167" s="1212"/>
      <c r="D167" s="1314" t="str">
        <f>_xlfn.IFNA(VLOOKUP(A167,'Project Income &amp; UA'!$C$33:$N$55,3,FALSE)&amp;" BR","")</f>
        <v/>
      </c>
      <c r="E167" s="1159" t="str">
        <f>_xlfn.IFNA(VLOOKUP(A167,'Project Income &amp; UA'!$C$33:$N$55,4,FALSE)," - ")</f>
        <v xml:space="preserve"> - </v>
      </c>
      <c r="F167" s="1139">
        <f>IF(A167&gt;0,SUMIFS('Project Income &amp; UA'!$G$33:$G$55,'Project Income &amp; UA'!$C$33:$C$55,A167),)</f>
        <v>0</v>
      </c>
      <c r="G167" s="1139"/>
      <c r="H167" s="1138">
        <f>_xlfn.IFNA(VLOOKUP($A167,'Project Income &amp; UA'!$C$33:$N$55,6,FALSE),)</f>
        <v>0</v>
      </c>
      <c r="I167" s="1138">
        <f>_xlfn.IFNA(VLOOKUP($A167,'Project Income &amp; UA'!$C$33:$N$55,7,FALSE),)</f>
        <v>0</v>
      </c>
      <c r="J167" s="1138">
        <f t="shared" si="32"/>
        <v>0</v>
      </c>
      <c r="K167" s="1155">
        <f>_xlfn.IFNA(VLOOKUP($A167,'Project Income &amp; UA'!$C$33:$N$55,9,FALSE),)</f>
        <v>0</v>
      </c>
      <c r="L167" s="1155">
        <f>_xlfn.IFNA(VLOOKUP($A167,'Project Income &amp; UA'!$C$33:$N$55,11,FALSE),)</f>
        <v>0</v>
      </c>
      <c r="M167" s="1363">
        <f t="shared" si="33"/>
        <v>0</v>
      </c>
      <c r="N167" s="407">
        <f>_xlfn.IFNA(VLOOKUP($A167,'Project Income &amp; UA'!$C$33:$R$55,16,FALSE),)</f>
        <v>0</v>
      </c>
      <c r="O167" s="397">
        <f t="shared" si="30"/>
        <v>0</v>
      </c>
      <c r="P167" s="407"/>
      <c r="Q167" s="402" t="s">
        <v>15</v>
      </c>
      <c r="U167" s="494">
        <f>'Operating Budget'!E48+'Operating Budget'!E50</f>
        <v>0</v>
      </c>
      <c r="V167" s="494">
        <f t="shared" si="36"/>
        <v>0</v>
      </c>
      <c r="W167" s="495">
        <f t="shared" si="37"/>
        <v>0</v>
      </c>
      <c r="AE167" s="636">
        <f t="shared" si="31"/>
        <v>0</v>
      </c>
    </row>
    <row r="168" spans="1:31" outlineLevel="2" x14ac:dyDescent="0.2">
      <c r="A168" s="1212">
        <f>IF(AND(COUNT('Project Income &amp; UA'!$E$33:$E$55)&lt;9,A167=0,A166&lt;&gt;0),0,_xlfn.IFNA(IF(A167=0,MAX($A$153:A167)+1,IF(VLOOKUP(A167,'Project Income &amp; UA'!$C$33:$X$55,3,FALSE)=VLOOKUP(A167+1,'Project Income &amp; UA'!$C$33:$X$55,3,FALSE),A167+1,IF(A167=0,MAX($A$153:A167)+1,0))),))</f>
        <v>0</v>
      </c>
      <c r="B168" s="1212"/>
      <c r="D168" s="1314" t="str">
        <f>_xlfn.IFNA(VLOOKUP(A168,'Project Income &amp; UA'!$C$33:$N$55,3,FALSE)&amp;" BR","")</f>
        <v/>
      </c>
      <c r="E168" s="1159" t="str">
        <f>_xlfn.IFNA(VLOOKUP(A168,'Project Income &amp; UA'!$C$33:$N$55,4,FALSE)," - ")</f>
        <v xml:space="preserve"> - </v>
      </c>
      <c r="F168" s="1139">
        <f>IF(A168&gt;0,SUMIFS('Project Income &amp; UA'!$G$33:$G$55,'Project Income &amp; UA'!$C$33:$C$55,A168),)</f>
        <v>0</v>
      </c>
      <c r="G168" s="1139"/>
      <c r="H168" s="1138">
        <f>_xlfn.IFNA(VLOOKUP($A168,'Project Income &amp; UA'!$C$33:$N$55,6,FALSE),)</f>
        <v>0</v>
      </c>
      <c r="I168" s="1138">
        <f>_xlfn.IFNA(VLOOKUP($A168,'Project Income &amp; UA'!$C$33:$N$55,7,FALSE),)</f>
        <v>0</v>
      </c>
      <c r="J168" s="1138">
        <f t="shared" si="32"/>
        <v>0</v>
      </c>
      <c r="K168" s="1155">
        <f>_xlfn.IFNA(VLOOKUP($A168,'Project Income &amp; UA'!$C$33:$N$55,9,FALSE),)</f>
        <v>0</v>
      </c>
      <c r="L168" s="1155">
        <f>_xlfn.IFNA(VLOOKUP($A168,'Project Income &amp; UA'!$C$33:$N$55,11,FALSE),)</f>
        <v>0</v>
      </c>
      <c r="M168" s="1363">
        <f t="shared" si="33"/>
        <v>0</v>
      </c>
      <c r="N168" s="407">
        <f>_xlfn.IFNA(VLOOKUP($A168,'Project Income &amp; UA'!$C$33:$R$55,16,FALSE),)</f>
        <v>0</v>
      </c>
      <c r="O168" s="397">
        <f t="shared" si="30"/>
        <v>0</v>
      </c>
      <c r="P168" s="407"/>
      <c r="Q168" s="402" t="s">
        <v>16</v>
      </c>
      <c r="U168" s="494">
        <f>'Operating Budget'!E52</f>
        <v>0</v>
      </c>
      <c r="V168" s="494">
        <f t="shared" si="36"/>
        <v>0</v>
      </c>
      <c r="W168" s="495">
        <f t="shared" si="37"/>
        <v>0</v>
      </c>
      <c r="AE168" s="636">
        <f t="shared" si="31"/>
        <v>0</v>
      </c>
    </row>
    <row r="169" spans="1:31" outlineLevel="2" x14ac:dyDescent="0.2">
      <c r="A169" s="1212">
        <f>IF(AND(COUNT('Project Income &amp; UA'!$E$33:$E$55)&lt;9,A168=0,A167&lt;&gt;0),0,_xlfn.IFNA(IF(A168=0,MAX($A$153:A168)+1,IF(VLOOKUP(A168,'Project Income &amp; UA'!$C$33:$X$55,3,FALSE)=VLOOKUP(A168+1,'Project Income &amp; UA'!$C$33:$X$55,3,FALSE),A168+1,IF(A168=0,MAX($A$153:A168)+1,0))),))</f>
        <v>0</v>
      </c>
      <c r="B169" s="1212"/>
      <c r="D169" s="1314" t="str">
        <f>_xlfn.IFNA(VLOOKUP(A169,'Project Income &amp; UA'!$C$33:$N$55,3,FALSE)&amp;" BR","")</f>
        <v/>
      </c>
      <c r="E169" s="1159" t="str">
        <f>_xlfn.IFNA(VLOOKUP(A169,'Project Income &amp; UA'!$C$33:$N$55,4,FALSE)," - ")</f>
        <v xml:space="preserve"> - </v>
      </c>
      <c r="F169" s="1139">
        <f>IF(A169&gt;0,SUMIFS('Project Income &amp; UA'!$G$33:$G$55,'Project Income &amp; UA'!$C$33:$C$55,A169),)</f>
        <v>0</v>
      </c>
      <c r="G169" s="1139"/>
      <c r="H169" s="1138">
        <f>_xlfn.IFNA(VLOOKUP($A169,'Project Income &amp; UA'!$C$33:$N$55,6,FALSE),)</f>
        <v>0</v>
      </c>
      <c r="I169" s="1138">
        <f>_xlfn.IFNA(VLOOKUP($A169,'Project Income &amp; UA'!$C$33:$N$55,7,FALSE),)</f>
        <v>0</v>
      </c>
      <c r="J169" s="1138">
        <f t="shared" si="32"/>
        <v>0</v>
      </c>
      <c r="K169" s="1155">
        <f>_xlfn.IFNA(VLOOKUP($A169,'Project Income &amp; UA'!$C$33:$N$55,9,FALSE),)</f>
        <v>0</v>
      </c>
      <c r="L169" s="1155">
        <f>_xlfn.IFNA(VLOOKUP($A169,'Project Income &amp; UA'!$C$33:$N$55,11,FALSE),)</f>
        <v>0</v>
      </c>
      <c r="M169" s="1363">
        <f t="shared" si="33"/>
        <v>0</v>
      </c>
      <c r="N169" s="407">
        <f>_xlfn.IFNA(VLOOKUP($A169,'Project Income &amp; UA'!$C$33:$R$55,16,FALSE),)</f>
        <v>0</v>
      </c>
      <c r="O169" s="397">
        <f t="shared" si="30"/>
        <v>0</v>
      </c>
      <c r="P169" s="407"/>
      <c r="Q169" s="402" t="s">
        <v>17</v>
      </c>
      <c r="U169" s="494">
        <f>'Operating Budget'!E54</f>
        <v>0</v>
      </c>
      <c r="V169" s="494">
        <f t="shared" si="36"/>
        <v>0</v>
      </c>
      <c r="W169" s="495">
        <f t="shared" si="37"/>
        <v>0</v>
      </c>
      <c r="AE169" s="636">
        <f t="shared" si="31"/>
        <v>0</v>
      </c>
    </row>
    <row r="170" spans="1:31" outlineLevel="2" x14ac:dyDescent="0.2">
      <c r="A170" s="1212">
        <f>IF(AND(COUNT('Project Income &amp; UA'!$E$33:$E$55)&lt;9,A169=0,A168&lt;&gt;0),0,_xlfn.IFNA(IF(A169=0,MAX($A$153:A169)+1,IF(VLOOKUP(A169,'Project Income &amp; UA'!$C$33:$X$55,3,FALSE)=VLOOKUP(A169+1,'Project Income &amp; UA'!$C$33:$X$55,3,FALSE),A169+1,IF(A169=0,MAX($A$153:A169)+1,0))),))</f>
        <v>6</v>
      </c>
      <c r="B170" s="1212"/>
      <c r="D170" s="1314" t="str">
        <f>_xlfn.IFNA(VLOOKUP(A170,'Project Income &amp; UA'!$C$33:$N$55,3,FALSE)&amp;" BR","")</f>
        <v/>
      </c>
      <c r="E170" s="1159" t="str">
        <f>_xlfn.IFNA(VLOOKUP(A170,'Project Income &amp; UA'!$C$33:$N$55,4,FALSE)," - ")</f>
        <v xml:space="preserve"> - </v>
      </c>
      <c r="F170" s="1139">
        <f>IF(A170&gt;0,SUMIFS('Project Income &amp; UA'!$G$33:$G$55,'Project Income &amp; UA'!$C$33:$C$55,A170),)</f>
        <v>0</v>
      </c>
      <c r="G170" s="1139"/>
      <c r="H170" s="1138">
        <f>_xlfn.IFNA(VLOOKUP($A170,'Project Income &amp; UA'!$C$33:$N$55,6,FALSE),)</f>
        <v>0</v>
      </c>
      <c r="I170" s="1138">
        <f>_xlfn.IFNA(VLOOKUP($A170,'Project Income &amp; UA'!$C$33:$N$55,7,FALSE),)</f>
        <v>0</v>
      </c>
      <c r="J170" s="1138">
        <f t="shared" si="32"/>
        <v>0</v>
      </c>
      <c r="K170" s="1155">
        <f>_xlfn.IFNA(VLOOKUP($A170,'Project Income &amp; UA'!$C$33:$N$55,9,FALSE),)</f>
        <v>0</v>
      </c>
      <c r="L170" s="1155">
        <f>_xlfn.IFNA(VLOOKUP($A170,'Project Income &amp; UA'!$C$33:$N$55,11,FALSE),)</f>
        <v>0</v>
      </c>
      <c r="M170" s="1363">
        <f t="shared" si="33"/>
        <v>0</v>
      </c>
      <c r="N170" s="407">
        <f>_xlfn.IFNA(VLOOKUP($A170,'Project Income &amp; UA'!$C$33:$R$55,16,FALSE),)</f>
        <v>0</v>
      </c>
      <c r="O170" s="397">
        <f t="shared" si="30"/>
        <v>0</v>
      </c>
      <c r="P170" s="407"/>
      <c r="Q170" s="402" t="s">
        <v>18</v>
      </c>
      <c r="U170" s="494">
        <f>'Operating Budget'!E56</f>
        <v>0</v>
      </c>
      <c r="V170" s="494">
        <f t="shared" si="36"/>
        <v>0</v>
      </c>
      <c r="W170" s="495">
        <f t="shared" si="37"/>
        <v>0</v>
      </c>
      <c r="AE170" s="636">
        <f t="shared" si="31"/>
        <v>0</v>
      </c>
    </row>
    <row r="171" spans="1:31" outlineLevel="2" x14ac:dyDescent="0.2">
      <c r="A171" s="1212">
        <f>IF(AND(COUNT('Project Income &amp; UA'!$E$33:$E$55)&lt;9,A170=0,A169&lt;&gt;0),0,_xlfn.IFNA(IF(A170=0,MAX($A$153:A170)+1,IF(VLOOKUP(A170,'Project Income &amp; UA'!$C$33:$X$55,3,FALSE)=VLOOKUP(A170+1,'Project Income &amp; UA'!$C$33:$X$55,3,FALSE),A170+1,IF(A170=0,MAX($A$153:A170)+1,0))),))</f>
        <v>0</v>
      </c>
      <c r="B171" s="1212"/>
      <c r="D171" s="1314" t="str">
        <f>_xlfn.IFNA(VLOOKUP(A171,'Project Income &amp; UA'!$C$33:$N$55,3,FALSE)&amp;" BR","")</f>
        <v/>
      </c>
      <c r="E171" s="1159" t="str">
        <f>_xlfn.IFNA(VLOOKUP(A171,'Project Income &amp; UA'!$C$33:$N$55,4,FALSE)," - ")</f>
        <v xml:space="preserve"> - </v>
      </c>
      <c r="F171" s="1139">
        <f>IF(A171&gt;0,SUMIFS('Project Income &amp; UA'!$G$33:$G$55,'Project Income &amp; UA'!$C$33:$C$55,A171),)</f>
        <v>0</v>
      </c>
      <c r="G171" s="1139"/>
      <c r="H171" s="1138">
        <f>_xlfn.IFNA(VLOOKUP($A171,'Project Income &amp; UA'!$C$33:$N$55,6,FALSE),)</f>
        <v>0</v>
      </c>
      <c r="I171" s="1138">
        <f>_xlfn.IFNA(VLOOKUP($A171,'Project Income &amp; UA'!$C$33:$N$55,7,FALSE),)</f>
        <v>0</v>
      </c>
      <c r="J171" s="1138">
        <f t="shared" si="32"/>
        <v>0</v>
      </c>
      <c r="K171" s="1155">
        <f>_xlfn.IFNA(VLOOKUP($A171,'Project Income &amp; UA'!$C$33:$N$55,9,FALSE),)</f>
        <v>0</v>
      </c>
      <c r="L171" s="1155">
        <f>_xlfn.IFNA(VLOOKUP($A171,'Project Income &amp; UA'!$C$33:$N$55,11,FALSE),)</f>
        <v>0</v>
      </c>
      <c r="M171" s="1363">
        <f t="shared" si="33"/>
        <v>0</v>
      </c>
      <c r="N171" s="407">
        <f>_xlfn.IFNA(VLOOKUP($A171,'Project Income &amp; UA'!$C$33:$R$55,16,FALSE),)</f>
        <v>0</v>
      </c>
      <c r="O171" s="397">
        <f t="shared" si="30"/>
        <v>0</v>
      </c>
      <c r="P171" s="407"/>
      <c r="Q171" s="621" t="s">
        <v>296</v>
      </c>
      <c r="R171" s="611"/>
      <c r="S171" s="611"/>
      <c r="T171" s="611"/>
      <c r="U171" s="659">
        <f>SUM(U162:U170)</f>
        <v>0</v>
      </c>
      <c r="V171" s="659">
        <f t="shared" si="36"/>
        <v>0</v>
      </c>
      <c r="W171" s="660">
        <f t="shared" si="37"/>
        <v>0</v>
      </c>
      <c r="AE171" s="636">
        <f t="shared" si="31"/>
        <v>0</v>
      </c>
    </row>
    <row r="172" spans="1:31" outlineLevel="2" x14ac:dyDescent="0.2">
      <c r="A172" s="1212">
        <f>IF(AND(COUNT('Project Income &amp; UA'!$E$33:$E$55)&lt;9,A171=0,A170&lt;&gt;0),0,_xlfn.IFNA(IF(A171=0,MAX($A$153:A171)+1,IF(VLOOKUP(A171,'Project Income &amp; UA'!$C$33:$X$55,3,FALSE)=VLOOKUP(A171+1,'Project Income &amp; UA'!$C$33:$X$55,3,FALSE),A171+1,IF(A171=0,MAX($A$153:A171)+1,0))),))</f>
        <v>0</v>
      </c>
      <c r="B172" s="1212"/>
      <c r="D172" s="1314" t="str">
        <f>_xlfn.IFNA(VLOOKUP(A172,'Project Income &amp; UA'!$C$33:$N$55,3,FALSE)&amp;" BR","")</f>
        <v/>
      </c>
      <c r="E172" s="1159" t="str">
        <f>_xlfn.IFNA(VLOOKUP(A172,'Project Income &amp; UA'!$C$33:$N$55,4,FALSE)," - ")</f>
        <v xml:space="preserve"> - </v>
      </c>
      <c r="F172" s="1139">
        <f>IF(A172&gt;0,SUMIFS('Project Income &amp; UA'!$G$33:$G$55,'Project Income &amp; UA'!$C$33:$C$55,A172),)</f>
        <v>0</v>
      </c>
      <c r="G172" s="1139"/>
      <c r="H172" s="1138">
        <f>_xlfn.IFNA(VLOOKUP($A172,'Project Income &amp; UA'!$C$33:$N$55,6,FALSE),)</f>
        <v>0</v>
      </c>
      <c r="I172" s="1138">
        <f>_xlfn.IFNA(VLOOKUP($A172,'Project Income &amp; UA'!$C$33:$N$55,7,FALSE),)</f>
        <v>0</v>
      </c>
      <c r="J172" s="1138">
        <f t="shared" si="32"/>
        <v>0</v>
      </c>
      <c r="K172" s="1155">
        <f>_xlfn.IFNA(VLOOKUP($A172,'Project Income &amp; UA'!$C$33:$N$55,9,FALSE),)</f>
        <v>0</v>
      </c>
      <c r="L172" s="1155">
        <f>_xlfn.IFNA(VLOOKUP($A172,'Project Income &amp; UA'!$C$33:$N$55,11,FALSE),)</f>
        <v>0</v>
      </c>
      <c r="M172" s="1363">
        <f t="shared" si="33"/>
        <v>0</v>
      </c>
      <c r="N172" s="407">
        <f>_xlfn.IFNA(VLOOKUP($A172,'Project Income &amp; UA'!$C$33:$R$55,16,FALSE),)</f>
        <v>0</v>
      </c>
      <c r="O172" s="397">
        <f t="shared" si="30"/>
        <v>0</v>
      </c>
      <c r="P172" s="407"/>
      <c r="Q172" s="402" t="s">
        <v>295</v>
      </c>
      <c r="U172" s="494"/>
      <c r="V172" s="494"/>
      <c r="W172" s="495"/>
      <c r="AE172" s="636">
        <f t="shared" si="31"/>
        <v>0</v>
      </c>
    </row>
    <row r="173" spans="1:31" outlineLevel="2" x14ac:dyDescent="0.2">
      <c r="A173" s="1212">
        <f>IF(AND(COUNT('Project Income &amp; UA'!$E$33:$E$55)&lt;9,A172=0,A171&lt;&gt;0),0,_xlfn.IFNA(IF(A172=0,MAX($A$153:A172)+1,IF(VLOOKUP(A172,'Project Income &amp; UA'!$C$33:$X$55,3,FALSE)=VLOOKUP(A172+1,'Project Income &amp; UA'!$C$33:$X$55,3,FALSE),A172+1,IF(A172=0,MAX($A$153:A172)+1,0))),))</f>
        <v>7</v>
      </c>
      <c r="B173" s="1212"/>
      <c r="D173" s="1314" t="str">
        <f>_xlfn.IFNA(VLOOKUP(A173,'Project Income &amp; UA'!$C$33:$N$55,3,FALSE)&amp;" BR","")</f>
        <v/>
      </c>
      <c r="E173" s="1159" t="str">
        <f>_xlfn.IFNA(VLOOKUP(A173,'Project Income &amp; UA'!$C$33:$N$55,4,FALSE)," - ")</f>
        <v xml:space="preserve"> - </v>
      </c>
      <c r="F173" s="1139">
        <f>IF(A173&gt;0,SUMIFS('Project Income &amp; UA'!$G$33:$G$55,'Project Income &amp; UA'!$C$33:$C$55,A173),)</f>
        <v>0</v>
      </c>
      <c r="G173" s="1139"/>
      <c r="H173" s="1138">
        <f>_xlfn.IFNA(VLOOKUP($A173,'Project Income &amp; UA'!$C$33:$N$55,6,FALSE),)</f>
        <v>0</v>
      </c>
      <c r="I173" s="1138">
        <f>_xlfn.IFNA(VLOOKUP($A173,'Project Income &amp; UA'!$C$33:$N$55,7,FALSE),)</f>
        <v>0</v>
      </c>
      <c r="J173" s="1138">
        <f t="shared" si="32"/>
        <v>0</v>
      </c>
      <c r="K173" s="1155">
        <f>_xlfn.IFNA(VLOOKUP($A173,'Project Income &amp; UA'!$C$33:$N$55,9,FALSE),)</f>
        <v>0</v>
      </c>
      <c r="L173" s="1155">
        <f>_xlfn.IFNA(VLOOKUP($A173,'Project Income &amp; UA'!$C$33:$N$55,11,FALSE),)</f>
        <v>0</v>
      </c>
      <c r="M173" s="1363">
        <f t="shared" si="33"/>
        <v>0</v>
      </c>
      <c r="N173" s="407">
        <f>_xlfn.IFNA(VLOOKUP($A173,'Project Income &amp; UA'!$C$33:$R$55,16,FALSE),)</f>
        <v>0</v>
      </c>
      <c r="O173" s="397">
        <f t="shared" si="30"/>
        <v>0</v>
      </c>
      <c r="Q173" s="402" t="s">
        <v>19</v>
      </c>
      <c r="U173" s="494">
        <f>'Operating Budget'!E61</f>
        <v>0</v>
      </c>
      <c r="V173" s="494">
        <f t="shared" ref="V173:V184" si="38">IF($G$5=0,0,U173/$G$5)</f>
        <v>0</v>
      </c>
      <c r="W173" s="495">
        <f t="shared" ref="W173:W184" si="39">V173/12</f>
        <v>0</v>
      </c>
      <c r="AE173" s="636">
        <f t="shared" si="31"/>
        <v>0</v>
      </c>
    </row>
    <row r="174" spans="1:31" outlineLevel="2" x14ac:dyDescent="0.2">
      <c r="A174" s="1212">
        <f>IF(AND(COUNT('Project Income &amp; UA'!$E$33:$E$55)&lt;9,A173=0,A172&lt;&gt;0),0,_xlfn.IFNA(IF(A173=0,MAX($A$153:A173)+1,IF(VLOOKUP(A173,'Project Income &amp; UA'!$C$33:$X$55,3,FALSE)=VLOOKUP(A173+1,'Project Income &amp; UA'!$C$33:$X$55,3,FALSE),A173+1,IF(A173=0,MAX($A$153:A173)+1,0))),))</f>
        <v>0</v>
      </c>
      <c r="B174" s="1212"/>
      <c r="D174" s="1314" t="str">
        <f>_xlfn.IFNA(VLOOKUP(A174,'Project Income &amp; UA'!$C$33:$N$55,3,FALSE)&amp;" BR","")</f>
        <v/>
      </c>
      <c r="E174" s="1159" t="str">
        <f>_xlfn.IFNA(VLOOKUP(A174,'Project Income &amp; UA'!$C$33:$N$55,4,FALSE)," - ")</f>
        <v xml:space="preserve"> - </v>
      </c>
      <c r="F174" s="1139">
        <f>IF(A174&gt;0,SUMIFS('Project Income &amp; UA'!$G$33:$G$55,'Project Income &amp; UA'!$C$33:$C$55,A174),)</f>
        <v>0</v>
      </c>
      <c r="G174" s="1139"/>
      <c r="H174" s="1138">
        <f>_xlfn.IFNA(VLOOKUP($A174,'Project Income &amp; UA'!$C$33:$N$55,6,FALSE),)</f>
        <v>0</v>
      </c>
      <c r="I174" s="1138">
        <f>_xlfn.IFNA(VLOOKUP($A174,'Project Income &amp; UA'!$C$33:$N$55,7,FALSE),)</f>
        <v>0</v>
      </c>
      <c r="J174" s="1138">
        <f t="shared" si="32"/>
        <v>0</v>
      </c>
      <c r="K174" s="1155">
        <f>_xlfn.IFNA(VLOOKUP($A174,'Project Income &amp; UA'!$C$33:$N$55,9,FALSE),)</f>
        <v>0</v>
      </c>
      <c r="L174" s="1155">
        <f>_xlfn.IFNA(VLOOKUP($A174,'Project Income &amp; UA'!$C$33:$N$55,11,FALSE),)</f>
        <v>0</v>
      </c>
      <c r="M174" s="1363">
        <f t="shared" si="33"/>
        <v>0</v>
      </c>
      <c r="N174" s="407">
        <f>_xlfn.IFNA(VLOOKUP($A174,'Project Income &amp; UA'!$C$33:$R$55,16,FALSE),)</f>
        <v>0</v>
      </c>
      <c r="O174" s="397">
        <f t="shared" si="30"/>
        <v>0</v>
      </c>
      <c r="Q174" s="402" t="s">
        <v>20</v>
      </c>
      <c r="U174" s="494">
        <f>'Operating Budget'!E63</f>
        <v>0</v>
      </c>
      <c r="V174" s="494">
        <f t="shared" si="38"/>
        <v>0</v>
      </c>
      <c r="W174" s="495">
        <f t="shared" si="39"/>
        <v>0</v>
      </c>
      <c r="AE174" s="636">
        <f t="shared" si="31"/>
        <v>0</v>
      </c>
    </row>
    <row r="175" spans="1:31" outlineLevel="2" x14ac:dyDescent="0.2">
      <c r="A175" s="1212">
        <f>IF(AND(COUNT('Project Income &amp; UA'!$E$33:$E$55)&lt;9,A174=0,A173&lt;&gt;0),0,_xlfn.IFNA(IF(A174=0,MAX($A$153:A174)+1,IF(VLOOKUP(A174,'Project Income &amp; UA'!$C$33:$X$55,3,FALSE)=VLOOKUP(A174+1,'Project Income &amp; UA'!$C$33:$X$55,3,FALSE),A174+1,IF(A174=0,MAX($A$153:A174)+1,0))),))</f>
        <v>0</v>
      </c>
      <c r="B175" s="1212"/>
      <c r="D175" s="1314" t="str">
        <f>_xlfn.IFNA(VLOOKUP(A175,'Project Income &amp; UA'!$C$33:$N$55,3,FALSE)&amp;" BR","")</f>
        <v/>
      </c>
      <c r="E175" s="1159" t="str">
        <f>_xlfn.IFNA(VLOOKUP(A175,'Project Income &amp; UA'!$C$33:$N$55,4,FALSE)," - ")</f>
        <v xml:space="preserve"> - </v>
      </c>
      <c r="F175" s="1139">
        <f>IF(A175&gt;0,SUMIFS('Project Income &amp; UA'!$G$33:$G$55,'Project Income &amp; UA'!$C$33:$C$55,A175),)</f>
        <v>0</v>
      </c>
      <c r="G175" s="1139"/>
      <c r="H175" s="1138">
        <f>_xlfn.IFNA(VLOOKUP($A175,'Project Income &amp; UA'!$C$33:$N$55,6,FALSE),)</f>
        <v>0</v>
      </c>
      <c r="I175" s="1138">
        <f>_xlfn.IFNA(VLOOKUP($A175,'Project Income &amp; UA'!$C$33:$N$55,7,FALSE),)</f>
        <v>0</v>
      </c>
      <c r="J175" s="1138">
        <f t="shared" si="32"/>
        <v>0</v>
      </c>
      <c r="K175" s="1155">
        <f>_xlfn.IFNA(VLOOKUP($A175,'Project Income &amp; UA'!$C$33:$N$55,9,FALSE),)</f>
        <v>0</v>
      </c>
      <c r="L175" s="1155">
        <f>_xlfn.IFNA(VLOOKUP($A175,'Project Income &amp; UA'!$C$33:$N$55,11,FALSE),)</f>
        <v>0</v>
      </c>
      <c r="M175" s="1363">
        <f t="shared" si="33"/>
        <v>0</v>
      </c>
      <c r="N175" s="407">
        <f>_xlfn.IFNA(VLOOKUP($A175,'Project Income &amp; UA'!$C$33:$R$55,16,FALSE),)</f>
        <v>0</v>
      </c>
      <c r="O175" s="397">
        <f t="shared" si="30"/>
        <v>0</v>
      </c>
      <c r="Q175" s="402" t="s">
        <v>21</v>
      </c>
      <c r="U175" s="494">
        <f>'Operating Budget'!E65</f>
        <v>0</v>
      </c>
      <c r="V175" s="494">
        <f t="shared" si="38"/>
        <v>0</v>
      </c>
      <c r="W175" s="495">
        <f t="shared" si="39"/>
        <v>0</v>
      </c>
      <c r="AE175" s="636">
        <f t="shared" si="31"/>
        <v>0</v>
      </c>
    </row>
    <row r="176" spans="1:31" outlineLevel="2" x14ac:dyDescent="0.2">
      <c r="A176" s="1212">
        <f>IF(AND(COUNT('Project Income &amp; UA'!$E$33:$E$55)&lt;9,A175=0,A174&lt;&gt;0),0,_xlfn.IFNA(IF(A175=0,MAX($A$153:A175)+1,IF(VLOOKUP(A175,'Project Income &amp; UA'!$C$33:$X$55,3,FALSE)=VLOOKUP(A175+1,'Project Income &amp; UA'!$C$33:$X$55,3,FALSE),A175+1,IF(A175=0,MAX($A$153:A175)+1,0))),))</f>
        <v>8</v>
      </c>
      <c r="B176" s="1212"/>
      <c r="D176" s="1314" t="str">
        <f>_xlfn.IFNA(VLOOKUP(A176,'Project Income &amp; UA'!$C$33:$N$55,3,FALSE)&amp;" BR","")</f>
        <v/>
      </c>
      <c r="E176" s="1159" t="str">
        <f>_xlfn.IFNA(VLOOKUP(A176,'Project Income &amp; UA'!$C$33:$N$55,4,FALSE)," - ")</f>
        <v xml:space="preserve"> - </v>
      </c>
      <c r="F176" s="1139">
        <f>IF(A176&gt;0,SUMIFS('Project Income &amp; UA'!$G$33:$G$55,'Project Income &amp; UA'!$C$33:$C$55,A176),)</f>
        <v>0</v>
      </c>
      <c r="G176" s="1139"/>
      <c r="H176" s="1138">
        <f>_xlfn.IFNA(VLOOKUP($A176,'Project Income &amp; UA'!$C$33:$N$55,6,FALSE),)</f>
        <v>0</v>
      </c>
      <c r="I176" s="1138">
        <f>_xlfn.IFNA(VLOOKUP($A176,'Project Income &amp; UA'!$C$33:$N$55,7,FALSE),)</f>
        <v>0</v>
      </c>
      <c r="J176" s="1138">
        <f t="shared" si="32"/>
        <v>0</v>
      </c>
      <c r="K176" s="1155">
        <f>_xlfn.IFNA(VLOOKUP($A176,'Project Income &amp; UA'!$C$33:$N$55,9,FALSE),)</f>
        <v>0</v>
      </c>
      <c r="L176" s="1155">
        <f>_xlfn.IFNA(VLOOKUP($A176,'Project Income &amp; UA'!$C$33:$N$55,11,FALSE),)</f>
        <v>0</v>
      </c>
      <c r="M176" s="1363">
        <f t="shared" si="33"/>
        <v>0</v>
      </c>
      <c r="N176" s="407">
        <f>_xlfn.IFNA(VLOOKUP($A176,'Project Income &amp; UA'!$C$33:$R$55,16,FALSE),)</f>
        <v>0</v>
      </c>
      <c r="O176" s="397">
        <f t="shared" si="30"/>
        <v>0</v>
      </c>
      <c r="Q176" s="402" t="s">
        <v>22</v>
      </c>
      <c r="U176" s="494">
        <f>'Operating Budget'!E67</f>
        <v>0</v>
      </c>
      <c r="V176" s="494">
        <f t="shared" si="38"/>
        <v>0</v>
      </c>
      <c r="W176" s="495">
        <f t="shared" si="39"/>
        <v>0</v>
      </c>
      <c r="AE176" s="636">
        <f t="shared" si="31"/>
        <v>0</v>
      </c>
    </row>
    <row r="177" spans="1:33" outlineLevel="1" x14ac:dyDescent="0.2">
      <c r="A177" s="1212">
        <f>IF(AND(COUNT('Project Income &amp; UA'!$E$33:$E$55)&lt;9,A176=0,A175&lt;&gt;0),0,_xlfn.IFNA(IF(A176=0,MAX($A$153:A176)+1,IF(VLOOKUP(A176,'Project Income &amp; UA'!$C$33:$X$55,3,FALSE)=VLOOKUP(A176+1,'Project Income &amp; UA'!$C$33:$X$55,3,FALSE),A176+1,IF(A176=0,MAX($A$153:A176)+1,0))),))</f>
        <v>0</v>
      </c>
      <c r="B177" s="1212"/>
      <c r="D177" s="1314" t="str">
        <f>_xlfn.IFNA(VLOOKUP(A177,'Project Income &amp; UA'!$C$33:$N$55,3,FALSE)&amp;" BR","")</f>
        <v/>
      </c>
      <c r="E177" s="1159" t="str">
        <f>_xlfn.IFNA(VLOOKUP(A177,'Project Income &amp; UA'!$C$33:$N$55,4,FALSE)," - ")</f>
        <v xml:space="preserve"> - </v>
      </c>
      <c r="F177" s="1139">
        <f>IF(A177&gt;0,SUMIFS('Project Income &amp; UA'!$G$33:$G$55,'Project Income &amp; UA'!$C$33:$C$55,A177),)</f>
        <v>0</v>
      </c>
      <c r="G177" s="1139"/>
      <c r="H177" s="1138">
        <f>_xlfn.IFNA(VLOOKUP($A177,'Project Income &amp; UA'!$C$33:$N$55,6,FALSE),)</f>
        <v>0</v>
      </c>
      <c r="I177" s="1138">
        <f>_xlfn.IFNA(VLOOKUP($A177,'Project Income &amp; UA'!$C$33:$N$55,7,FALSE),)</f>
        <v>0</v>
      </c>
      <c r="J177" s="1138">
        <f t="shared" si="32"/>
        <v>0</v>
      </c>
      <c r="K177" s="1155">
        <f>_xlfn.IFNA(VLOOKUP($A177,'Project Income &amp; UA'!$C$33:$N$55,9,FALSE),)</f>
        <v>0</v>
      </c>
      <c r="L177" s="1155">
        <f>_xlfn.IFNA(VLOOKUP($A177,'Project Income &amp; UA'!$C$33:$N$55,11,FALSE),)</f>
        <v>0</v>
      </c>
      <c r="M177" s="1363">
        <f t="shared" si="33"/>
        <v>0</v>
      </c>
      <c r="N177" s="407">
        <f>_xlfn.IFNA(VLOOKUP($A177,'Project Income &amp; UA'!$C$33:$R$55,16,FALSE),)</f>
        <v>0</v>
      </c>
      <c r="O177" s="397">
        <f t="shared" si="30"/>
        <v>0</v>
      </c>
      <c r="Q177" s="402"/>
      <c r="U177" s="494"/>
      <c r="V177" s="494"/>
      <c r="W177" s="495"/>
      <c r="AE177" s="636">
        <f t="shared" si="31"/>
        <v>0</v>
      </c>
    </row>
    <row r="178" spans="1:33" outlineLevel="1" x14ac:dyDescent="0.2">
      <c r="A178" s="1141"/>
      <c r="B178" s="1141"/>
      <c r="D178" s="1146" t="s">
        <v>82</v>
      </c>
      <c r="E178" s="1147"/>
      <c r="F178" s="1148"/>
      <c r="G178" s="1148"/>
      <c r="H178" s="1148"/>
      <c r="I178" s="1148"/>
      <c r="J178" s="1149"/>
      <c r="K178" s="1150"/>
      <c r="L178" s="1156"/>
      <c r="M178" s="1364">
        <f>IF(J178&lt;K178,(J178-L178)*F178*12,(K178-L178)*F178*12)</f>
        <v>0</v>
      </c>
      <c r="N178" s="407"/>
      <c r="O178" s="397" t="str">
        <f t="shared" si="30"/>
        <v/>
      </c>
      <c r="P178" s="394"/>
      <c r="Q178" s="402" t="s">
        <v>23</v>
      </c>
      <c r="U178" s="494">
        <f>'Operating Budget'!E71</f>
        <v>0</v>
      </c>
      <c r="V178" s="494">
        <f t="shared" si="38"/>
        <v>0</v>
      </c>
      <c r="W178" s="495">
        <f t="shared" si="39"/>
        <v>0</v>
      </c>
    </row>
    <row r="179" spans="1:33" outlineLevel="1" x14ac:dyDescent="0.2">
      <c r="A179" s="1141"/>
      <c r="B179" s="1141"/>
      <c r="D179" s="1142"/>
      <c r="E179" s="1140"/>
      <c r="F179" s="1143"/>
      <c r="G179" s="1143"/>
      <c r="H179" s="1143"/>
      <c r="I179" s="1143"/>
      <c r="J179" s="1144"/>
      <c r="K179" s="1145"/>
      <c r="L179" s="1157"/>
      <c r="M179" s="1365">
        <f>IF(J179&lt;K179,(J179-L179)*F179*12,(K179-L179)*F179*12)</f>
        <v>0</v>
      </c>
      <c r="N179" s="407"/>
      <c r="O179" s="397" t="str">
        <f t="shared" si="30"/>
        <v/>
      </c>
      <c r="Q179" s="402" t="s">
        <v>25</v>
      </c>
      <c r="U179" s="494">
        <f>'Operating Budget'!E73</f>
        <v>0</v>
      </c>
      <c r="V179" s="494">
        <f t="shared" si="38"/>
        <v>0</v>
      </c>
      <c r="W179" s="495">
        <f t="shared" si="39"/>
        <v>0</v>
      </c>
      <c r="AG179" s="416"/>
    </row>
    <row r="180" spans="1:33" outlineLevel="1" x14ac:dyDescent="0.2">
      <c r="D180" s="402" t="s">
        <v>294</v>
      </c>
      <c r="F180" s="470">
        <f>SUM(F153:F179)</f>
        <v>0</v>
      </c>
      <c r="I180" s="397" t="s">
        <v>41</v>
      </c>
      <c r="M180" s="1366">
        <f>SUM(M153:M179)</f>
        <v>0</v>
      </c>
      <c r="N180" s="407">
        <f>SUM(N153:N179)</f>
        <v>0</v>
      </c>
      <c r="O180" s="407">
        <f>SUM(O153:O179)</f>
        <v>0</v>
      </c>
      <c r="Q180" s="402" t="s">
        <v>26</v>
      </c>
      <c r="U180" s="494">
        <f>'Operating Budget'!E75</f>
        <v>0</v>
      </c>
      <c r="V180" s="494">
        <f t="shared" si="38"/>
        <v>0</v>
      </c>
      <c r="W180" s="495">
        <f t="shared" si="39"/>
        <v>0</v>
      </c>
    </row>
    <row r="181" spans="1:33" outlineLevel="1" x14ac:dyDescent="0.2">
      <c r="D181" s="402"/>
      <c r="M181" s="469"/>
      <c r="N181" s="407"/>
      <c r="O181" s="407"/>
      <c r="Q181" s="402" t="s">
        <v>27</v>
      </c>
      <c r="U181" s="494">
        <f>'Operating Budget'!E77</f>
        <v>0</v>
      </c>
      <c r="V181" s="494">
        <f t="shared" si="38"/>
        <v>0</v>
      </c>
      <c r="W181" s="495">
        <f t="shared" si="39"/>
        <v>0</v>
      </c>
      <c r="AB181" s="501"/>
      <c r="AD181" s="502"/>
    </row>
    <row r="182" spans="1:33" outlineLevel="1" x14ac:dyDescent="0.2">
      <c r="D182" s="402"/>
      <c r="I182" s="503" t="s">
        <v>581</v>
      </c>
      <c r="K182" s="474"/>
      <c r="L182" s="1368">
        <f>'Project Income &amp; UA'!L60</f>
        <v>0</v>
      </c>
      <c r="M182" s="1366">
        <f>L182*12</f>
        <v>0</v>
      </c>
      <c r="N182" s="407"/>
      <c r="O182" s="407"/>
      <c r="Q182" s="402" t="s">
        <v>28</v>
      </c>
      <c r="U182" s="494">
        <f>'Operating Budget'!E79</f>
        <v>0</v>
      </c>
      <c r="V182" s="494">
        <f t="shared" si="38"/>
        <v>0</v>
      </c>
      <c r="W182" s="495">
        <f t="shared" si="39"/>
        <v>0</v>
      </c>
      <c r="AB182" s="504"/>
      <c r="AD182" s="504"/>
    </row>
    <row r="183" spans="1:33" outlineLevel="1" x14ac:dyDescent="0.2">
      <c r="D183" s="402"/>
      <c r="I183" s="503" t="s">
        <v>45</v>
      </c>
      <c r="J183" s="1778" t="str">
        <f>IF('Project Income &amp; UA'!G61="If monthly amount is affected by Vacancy Loss","",'Project Income &amp; UA'!G61)</f>
        <v/>
      </c>
      <c r="K183" s="1778"/>
      <c r="L183" s="1368">
        <f>'Project Income &amp; UA'!L61</f>
        <v>0</v>
      </c>
      <c r="M183" s="1366">
        <f>L183*12</f>
        <v>0</v>
      </c>
      <c r="N183" s="407"/>
      <c r="O183" s="407"/>
      <c r="Q183" s="402"/>
      <c r="U183" s="494"/>
      <c r="V183" s="494"/>
      <c r="W183" s="495"/>
      <c r="AB183" s="501"/>
      <c r="AD183" s="502"/>
    </row>
    <row r="184" spans="1:33" x14ac:dyDescent="0.2">
      <c r="D184" s="402"/>
      <c r="I184" s="398" t="str">
        <f>IF(J184="","","&amp;")</f>
        <v/>
      </c>
      <c r="J184" s="1780" t="str">
        <f>IF('Project Income &amp; UA'!G62="","",'Project Income &amp; UA'!G62)</f>
        <v/>
      </c>
      <c r="K184" s="1780"/>
      <c r="L184" s="1165">
        <f>'Project Income &amp; UA'!L62</f>
        <v>0</v>
      </c>
      <c r="M184" s="1366">
        <f>L184*12</f>
        <v>0</v>
      </c>
      <c r="N184" s="407"/>
      <c r="O184" s="407"/>
      <c r="Q184" s="621" t="s">
        <v>292</v>
      </c>
      <c r="R184" s="611"/>
      <c r="S184" s="611"/>
      <c r="T184" s="611"/>
      <c r="U184" s="659">
        <f>SUM(U173:U183)</f>
        <v>0</v>
      </c>
      <c r="V184" s="659">
        <f t="shared" si="38"/>
        <v>0</v>
      </c>
      <c r="W184" s="660">
        <f t="shared" si="39"/>
        <v>0</v>
      </c>
      <c r="AB184" s="501"/>
      <c r="AD184" s="502"/>
    </row>
    <row r="185" spans="1:33" x14ac:dyDescent="0.2">
      <c r="D185" s="402"/>
      <c r="I185" s="397" t="s">
        <v>293</v>
      </c>
      <c r="J185" s="398"/>
      <c r="K185" s="418">
        <f>'Project Income &amp; UA'!J65</f>
        <v>0.05</v>
      </c>
      <c r="L185" s="1165"/>
      <c r="M185" s="1366">
        <f>SUM(M180:M183)*K185*-1</f>
        <v>0</v>
      </c>
      <c r="N185" s="407">
        <f>N180*-K185</f>
        <v>0</v>
      </c>
      <c r="O185" s="407">
        <f>O180*-K185</f>
        <v>0</v>
      </c>
      <c r="Q185" s="402" t="s">
        <v>37</v>
      </c>
      <c r="U185" s="494"/>
      <c r="V185" s="494"/>
      <c r="W185" s="495"/>
      <c r="AB185" s="501"/>
      <c r="AD185" s="502"/>
    </row>
    <row r="186" spans="1:33" x14ac:dyDescent="0.2">
      <c r="D186" s="402"/>
      <c r="L186" s="1165"/>
      <c r="M186" s="1366"/>
      <c r="N186" s="407"/>
      <c r="Q186" s="402" t="s">
        <v>29</v>
      </c>
      <c r="U186" s="494">
        <f>'Operating Budget'!E86</f>
        <v>0</v>
      </c>
      <c r="V186" s="494">
        <f>IF($G$5=0,0,U186/$G$5)</f>
        <v>0</v>
      </c>
      <c r="W186" s="495">
        <f>V186/12</f>
        <v>0</v>
      </c>
      <c r="AB186" s="501"/>
      <c r="AD186" s="502"/>
    </row>
    <row r="187" spans="1:33" x14ac:dyDescent="0.2">
      <c r="D187" s="402"/>
      <c r="I187" s="503" t="s">
        <v>45</v>
      </c>
      <c r="J187" s="1779" t="str">
        <f>IF('Project Income &amp; UA'!G67="Only if not affected by Vacancy Loss such as TIF income","",'Project Income &amp; UA'!G67)</f>
        <v/>
      </c>
      <c r="K187" s="1779"/>
      <c r="L187" s="1368">
        <f>'Project Income &amp; UA'!L67</f>
        <v>0</v>
      </c>
      <c r="M187" s="1366">
        <f>L187*12</f>
        <v>0</v>
      </c>
      <c r="N187" s="407"/>
      <c r="Q187" s="402" t="s">
        <v>30</v>
      </c>
      <c r="U187" s="494">
        <f>'Operating Budget'!E88</f>
        <v>0</v>
      </c>
      <c r="V187" s="494">
        <f>IF($G$5=0,0,U187/$G$5)</f>
        <v>0</v>
      </c>
      <c r="W187" s="495">
        <f>V187/12</f>
        <v>0</v>
      </c>
      <c r="AB187" s="501"/>
      <c r="AD187" s="502"/>
    </row>
    <row r="188" spans="1:33" x14ac:dyDescent="0.2">
      <c r="D188" s="402"/>
      <c r="M188" s="1366"/>
      <c r="Q188" s="491" t="s">
        <v>291</v>
      </c>
      <c r="U188" s="494">
        <f>'Operating Budget'!E90</f>
        <v>0</v>
      </c>
      <c r="V188" s="494">
        <f>IF($G$5=0,0,U188/$G$5)</f>
        <v>0</v>
      </c>
      <c r="W188" s="495">
        <f>V188/12</f>
        <v>0</v>
      </c>
    </row>
    <row r="189" spans="1:33" x14ac:dyDescent="0.2">
      <c r="D189" s="409"/>
      <c r="E189" s="412"/>
      <c r="F189" s="412"/>
      <c r="G189" s="412"/>
      <c r="H189" s="412"/>
      <c r="I189" s="412" t="s">
        <v>267</v>
      </c>
      <c r="J189" s="412"/>
      <c r="K189" s="412"/>
      <c r="L189" s="485"/>
      <c r="M189" s="1367">
        <f>SUM(M180:M187)</f>
        <v>0</v>
      </c>
      <c r="N189" s="407">
        <f>N180+N185</f>
        <v>0</v>
      </c>
      <c r="O189" s="407">
        <f>O180+O185</f>
        <v>0</v>
      </c>
      <c r="Q189" s="402" t="s">
        <v>175</v>
      </c>
      <c r="U189" s="494">
        <f>'Operating Budget'!E92</f>
        <v>0</v>
      </c>
      <c r="V189" s="494">
        <f>IF($G$5=0,0,U189/$G$5)</f>
        <v>0</v>
      </c>
      <c r="W189" s="495">
        <f>V189/12</f>
        <v>0</v>
      </c>
    </row>
    <row r="190" spans="1:33" x14ac:dyDescent="0.2">
      <c r="Q190" s="621" t="s">
        <v>290</v>
      </c>
      <c r="R190" s="611"/>
      <c r="S190" s="611"/>
      <c r="T190" s="611"/>
      <c r="U190" s="659">
        <f>SUM(U186:U189)</f>
        <v>0</v>
      </c>
      <c r="V190" s="659">
        <f>IF($G$5=0,0,U190/$G$5)</f>
        <v>0</v>
      </c>
      <c r="W190" s="660">
        <f>V190/12</f>
        <v>0</v>
      </c>
    </row>
    <row r="191" spans="1:33" x14ac:dyDescent="0.2">
      <c r="F191" s="625" t="s">
        <v>714</v>
      </c>
      <c r="G191" s="529"/>
      <c r="H191" s="529"/>
      <c r="I191" s="529"/>
      <c r="J191" s="635"/>
      <c r="K191" s="407"/>
      <c r="L191" s="407"/>
      <c r="Q191" s="625"/>
      <c r="R191" s="529"/>
      <c r="S191" s="529"/>
      <c r="T191" s="529"/>
      <c r="U191" s="657"/>
      <c r="V191" s="657"/>
      <c r="W191" s="658"/>
    </row>
    <row r="192" spans="1:33" x14ac:dyDescent="0.2">
      <c r="F192" s="409"/>
      <c r="G192" s="412"/>
      <c r="H192" s="412"/>
      <c r="I192" s="412"/>
      <c r="J192" s="441"/>
      <c r="Q192" s="402" t="s">
        <v>288</v>
      </c>
      <c r="U192" s="494">
        <f>'Operating Budget'!E96</f>
        <v>0</v>
      </c>
      <c r="V192" s="494">
        <f>IF($G$5=0,0,U192/$G$5)</f>
        <v>0</v>
      </c>
      <c r="W192" s="495">
        <f>V192/12</f>
        <v>0</v>
      </c>
    </row>
    <row r="193" spans="6:23" x14ac:dyDescent="0.2">
      <c r="F193" s="402" t="s">
        <v>267</v>
      </c>
      <c r="J193" s="469">
        <f>M189</f>
        <v>0</v>
      </c>
      <c r="Q193" s="402"/>
      <c r="U193" s="494"/>
      <c r="V193" s="494"/>
      <c r="W193" s="495"/>
    </row>
    <row r="194" spans="6:23" x14ac:dyDescent="0.2">
      <c r="F194" s="402" t="s">
        <v>289</v>
      </c>
      <c r="J194" s="469">
        <f>U196</f>
        <v>0</v>
      </c>
      <c r="Q194" s="402" t="s">
        <v>285</v>
      </c>
      <c r="U194" s="494">
        <f>'Operating Budget'!E98</f>
        <v>0</v>
      </c>
      <c r="V194" s="494">
        <f>IF($G$5=0,0,U194/$G$5)</f>
        <v>0</v>
      </c>
      <c r="W194" s="495">
        <f>V194/12</f>
        <v>0</v>
      </c>
    </row>
    <row r="195" spans="6:23" x14ac:dyDescent="0.2">
      <c r="F195" s="402"/>
      <c r="J195" s="469"/>
      <c r="Q195" s="402"/>
      <c r="U195" s="494"/>
      <c r="V195" s="494"/>
      <c r="W195" s="495"/>
    </row>
    <row r="196" spans="6:23" x14ac:dyDescent="0.2">
      <c r="F196" s="402" t="s">
        <v>287</v>
      </c>
      <c r="J196" s="469">
        <f>J193-J194</f>
        <v>0</v>
      </c>
      <c r="Q196" s="409" t="s">
        <v>278</v>
      </c>
      <c r="R196" s="412"/>
      <c r="S196" s="412"/>
      <c r="T196" s="412"/>
      <c r="U196" s="498">
        <f>U160+U171+U184+U190+U192+U194</f>
        <v>0</v>
      </c>
      <c r="V196" s="498">
        <f>V160+V171+V184+V190+V192+V194</f>
        <v>0</v>
      </c>
      <c r="W196" s="499">
        <f>W160+W171+W184+W190+W192+W194</f>
        <v>0</v>
      </c>
    </row>
    <row r="197" spans="6:23" x14ac:dyDescent="0.2">
      <c r="F197" s="402" t="s">
        <v>286</v>
      </c>
      <c r="G197" s="415"/>
      <c r="H197" s="505">
        <v>1.1499999999999999</v>
      </c>
      <c r="J197" s="469">
        <f>J196-J198</f>
        <v>0</v>
      </c>
    </row>
    <row r="198" spans="6:23" outlineLevel="1" x14ac:dyDescent="0.2">
      <c r="F198" s="402" t="s">
        <v>284</v>
      </c>
      <c r="J198" s="469">
        <f>J196/H197</f>
        <v>0</v>
      </c>
    </row>
    <row r="199" spans="6:23" outlineLevel="1" x14ac:dyDescent="0.2">
      <c r="F199" s="402" t="s">
        <v>283</v>
      </c>
      <c r="J199" s="469">
        <f>SUM(M132:M140)</f>
        <v>0</v>
      </c>
      <c r="Q199" s="436" t="s">
        <v>715</v>
      </c>
    </row>
    <row r="200" spans="6:23" outlineLevel="1" x14ac:dyDescent="0.2">
      <c r="F200" s="402" t="s">
        <v>282</v>
      </c>
      <c r="J200" s="469">
        <f>J198-J199</f>
        <v>0</v>
      </c>
      <c r="Q200" s="526" t="str">
        <f>Q154</f>
        <v xml:space="preserve">  Management Fees</v>
      </c>
      <c r="U200" s="510">
        <f>U154</f>
        <v>0</v>
      </c>
    </row>
    <row r="201" spans="6:23" outlineLevel="1" x14ac:dyDescent="0.2">
      <c r="F201" s="402"/>
      <c r="J201" s="469"/>
      <c r="Q201" s="526" t="str">
        <f>Q155</f>
        <v xml:space="preserve">  Management Charges</v>
      </c>
      <c r="U201" s="510">
        <f>U155</f>
        <v>0</v>
      </c>
    </row>
    <row r="202" spans="6:23" outlineLevel="1" x14ac:dyDescent="0.2">
      <c r="F202" s="409" t="s">
        <v>716</v>
      </c>
      <c r="G202" s="412"/>
      <c r="H202" s="412"/>
      <c r="I202" s="413">
        <f>J129</f>
        <v>0.06</v>
      </c>
      <c r="J202" s="478">
        <f>IF(J200&lt;0,0,J200/(PMT(J129/12,K129*12,1)*-12))</f>
        <v>0</v>
      </c>
      <c r="Q202" s="526" t="str">
        <f>Q159</f>
        <v xml:space="preserve">  Other Administrative Expenses</v>
      </c>
      <c r="U202" s="510">
        <f>U159</f>
        <v>0</v>
      </c>
      <c r="V202" s="510">
        <f>SUM(U200:U202)</f>
        <v>0</v>
      </c>
    </row>
    <row r="203" spans="6:23" outlineLevel="1" x14ac:dyDescent="0.2">
      <c r="F203" s="621" t="s">
        <v>772</v>
      </c>
      <c r="G203" s="611"/>
      <c r="H203" s="611"/>
      <c r="I203" s="689">
        <f>I202</f>
        <v>0.06</v>
      </c>
      <c r="J203" s="690">
        <f>IF(J200&lt;0,0,J200/I202)</f>
        <v>0</v>
      </c>
    </row>
    <row r="204" spans="6:23" outlineLevel="1" x14ac:dyDescent="0.2">
      <c r="F204" s="409" t="s">
        <v>323</v>
      </c>
      <c r="J204" s="690">
        <f>V125+((W121*F180*12)/(PMT(J129/12,K129*12,1)*-12))</f>
        <v>0</v>
      </c>
      <c r="Q204" s="492" t="s">
        <v>717</v>
      </c>
      <c r="V204" s="407">
        <f>M180+M185</f>
        <v>0</v>
      </c>
    </row>
    <row r="205" spans="6:23" outlineLevel="1" x14ac:dyDescent="0.2">
      <c r="F205" s="625" t="s">
        <v>281</v>
      </c>
      <c r="G205" s="529"/>
      <c r="H205" s="661" t="s">
        <v>280</v>
      </c>
      <c r="I205" s="529"/>
      <c r="J205" s="635"/>
      <c r="K205" s="662" t="s">
        <v>279</v>
      </c>
      <c r="L205" s="529"/>
      <c r="M205" s="635"/>
      <c r="Q205" s="663" t="s">
        <v>718</v>
      </c>
      <c r="W205" s="664" t="str">
        <f>IF(F180=0,"",V202/V204)</f>
        <v/>
      </c>
    </row>
    <row r="206" spans="6:23" outlineLevel="1" x14ac:dyDescent="0.2">
      <c r="F206" s="402"/>
      <c r="J206" s="438"/>
      <c r="K206" s="402"/>
      <c r="M206" s="438"/>
    </row>
    <row r="207" spans="6:23" outlineLevel="1" x14ac:dyDescent="0.2">
      <c r="F207" s="409"/>
      <c r="G207" s="412"/>
      <c r="H207" s="412"/>
      <c r="I207" s="463" t="s">
        <v>278</v>
      </c>
      <c r="J207" s="464"/>
      <c r="K207" s="409"/>
      <c r="L207" s="412"/>
      <c r="M207" s="464" t="s">
        <v>277</v>
      </c>
      <c r="N207" s="398"/>
      <c r="Q207" s="397" t="str">
        <f>IF(Q210="","","Maximum 60% AMI (Non-HERA) Rent Potential")</f>
        <v/>
      </c>
      <c r="V207" s="407" t="str">
        <f>IF(Q210="","",N180)</f>
        <v/>
      </c>
    </row>
    <row r="208" spans="6:23" outlineLevel="1" x14ac:dyDescent="0.2">
      <c r="F208" s="402" t="s">
        <v>276</v>
      </c>
      <c r="I208" s="407">
        <f>U196</f>
        <v>0</v>
      </c>
      <c r="J208" s="469"/>
      <c r="K208" s="402" t="s">
        <v>275</v>
      </c>
      <c r="M208" s="469">
        <f>M180+M182+M183</f>
        <v>0</v>
      </c>
      <c r="N208" s="407"/>
      <c r="Q208" s="527" t="str">
        <f>IF(Q210="","","Management Cost Percentage")</f>
        <v/>
      </c>
      <c r="U208" s="528" t="str">
        <f>IF(Q210="","",V202/V207)</f>
        <v/>
      </c>
    </row>
    <row r="209" spans="3:27" outlineLevel="1" x14ac:dyDescent="0.2">
      <c r="F209" s="402" t="s">
        <v>274</v>
      </c>
      <c r="I209" s="407">
        <f>I228+I229</f>
        <v>0</v>
      </c>
      <c r="J209" s="469"/>
      <c r="K209" s="402"/>
      <c r="M209" s="469"/>
      <c r="N209" s="407"/>
    </row>
    <row r="210" spans="3:27" outlineLevel="1" x14ac:dyDescent="0.2">
      <c r="F210" s="402"/>
      <c r="H210" s="407"/>
      <c r="I210" s="407"/>
      <c r="J210" s="469"/>
      <c r="K210" s="402"/>
      <c r="M210" s="438"/>
      <c r="Q210" s="665" t="str">
        <f>IF(M180=0,"",IF((U200+U201+U202)/N180&lt;=0.14,"","Management Costs are too high"))</f>
        <v/>
      </c>
    </row>
    <row r="211" spans="3:27" outlineLevel="1" x14ac:dyDescent="0.2">
      <c r="F211" s="409" t="s">
        <v>273</v>
      </c>
      <c r="G211" s="412"/>
      <c r="H211" s="485"/>
      <c r="I211" s="485">
        <f>IF($G$5=0,0,SUM(I208:I209)/$G$5/12)</f>
        <v>0</v>
      </c>
      <c r="J211" s="478"/>
      <c r="K211" s="409" t="s">
        <v>272</v>
      </c>
      <c r="L211" s="412"/>
      <c r="M211" s="506">
        <f>IF(M208=0,0,(I208+I209)/M208)</f>
        <v>0</v>
      </c>
      <c r="N211" s="418"/>
    </row>
    <row r="212" spans="3:27" outlineLevel="1" x14ac:dyDescent="0.2">
      <c r="K212" s="394"/>
      <c r="L212" s="407"/>
    </row>
    <row r="213" spans="3:27" outlineLevel="4" x14ac:dyDescent="0.2">
      <c r="W213" s="398" t="str">
        <f>'Project Information'!D4</f>
        <v>Project Name</v>
      </c>
    </row>
    <row r="214" spans="3:27" outlineLevel="3" x14ac:dyDescent="0.2">
      <c r="C214" s="1151" t="s">
        <v>271</v>
      </c>
      <c r="D214" s="1152"/>
      <c r="E214" s="529"/>
      <c r="F214" s="1152"/>
      <c r="G214" s="1152"/>
      <c r="H214" s="1152"/>
      <c r="I214" s="1152"/>
      <c r="J214" s="1152"/>
      <c r="K214" s="1152"/>
      <c r="L214" s="1152"/>
      <c r="M214" s="1152"/>
      <c r="N214" s="1152"/>
      <c r="O214" s="1152"/>
      <c r="P214" s="1152"/>
      <c r="Q214" s="1152"/>
      <c r="R214" s="1152"/>
      <c r="S214" s="1152"/>
      <c r="T214" s="1154"/>
    </row>
    <row r="215" spans="3:27" outlineLevel="3" x14ac:dyDescent="0.2">
      <c r="C215" s="402"/>
      <c r="G215" s="507">
        <f ca="1">ROUNDDOWN((H217-G217)/30.4,0)</f>
        <v>6</v>
      </c>
      <c r="H215" s="399" t="s">
        <v>270</v>
      </c>
      <c r="T215" s="438"/>
    </row>
    <row r="216" spans="3:27" ht="11.25" hidden="1" customHeight="1" outlineLevel="3" x14ac:dyDescent="0.2">
      <c r="C216" s="402"/>
      <c r="H216" s="508">
        <f ca="1">G215</f>
        <v>6</v>
      </c>
      <c r="I216" s="470">
        <f ca="1">H216+12</f>
        <v>18</v>
      </c>
      <c r="J216" s="470">
        <f ca="1">I216+12</f>
        <v>30</v>
      </c>
      <c r="K216" s="470">
        <f ca="1">J216+12</f>
        <v>42</v>
      </c>
      <c r="L216" s="470">
        <f ca="1">K216+12</f>
        <v>54</v>
      </c>
      <c r="M216" s="470">
        <f ca="1">L216+12</f>
        <v>66</v>
      </c>
      <c r="N216" s="470"/>
      <c r="O216" s="394"/>
      <c r="P216" s="470">
        <f ca="1">M216+12</f>
        <v>78</v>
      </c>
      <c r="Q216" s="470">
        <f ca="1">P216+12</f>
        <v>90</v>
      </c>
      <c r="R216" s="470">
        <f ca="1">Q216+12</f>
        <v>102</v>
      </c>
      <c r="S216" s="470">
        <f ca="1">R216+12</f>
        <v>114</v>
      </c>
      <c r="T216" s="486">
        <f ca="1">S216+12</f>
        <v>126</v>
      </c>
      <c r="X216" s="501"/>
    </row>
    <row r="217" spans="3:27" outlineLevel="3" x14ac:dyDescent="0.2">
      <c r="C217" s="409"/>
      <c r="D217" s="412"/>
      <c r="E217" s="412"/>
      <c r="F217" s="412"/>
      <c r="G217" s="509">
        <f ca="1">P73</f>
        <v>46568</v>
      </c>
      <c r="H217" s="958">
        <f ca="1">DATE(YEAR(G217),12,31)</f>
        <v>46752</v>
      </c>
      <c r="I217" s="958">
        <f ca="1">DATE(YEAR(H217)+1,12,31)</f>
        <v>47118</v>
      </c>
      <c r="J217" s="958">
        <f ca="1">DATE(YEAR(I217)+1,12,31)</f>
        <v>47483</v>
      </c>
      <c r="K217" s="958">
        <f ca="1">DATE(YEAR(J217)+1,12,31)</f>
        <v>47848</v>
      </c>
      <c r="L217" s="958">
        <f ca="1">DATE(YEAR(K217)+1,12,31)</f>
        <v>48213</v>
      </c>
      <c r="M217" s="958">
        <f ca="1">DATE(YEAR(L217)+1,12,31)</f>
        <v>48579</v>
      </c>
      <c r="N217" s="958"/>
      <c r="O217" s="958"/>
      <c r="P217" s="958">
        <f ca="1">DATE(YEAR(M217)+1,12,31)</f>
        <v>48944</v>
      </c>
      <c r="Q217" s="958">
        <f ca="1">DATE(YEAR(P217)+1,12,31)</f>
        <v>49309</v>
      </c>
      <c r="R217" s="958">
        <f ca="1">DATE(YEAR(Q217)+1,12,31)</f>
        <v>49674</v>
      </c>
      <c r="S217" s="958">
        <f ca="1">DATE(YEAR(R217)+1,12,31)</f>
        <v>50040</v>
      </c>
      <c r="T217" s="959">
        <f ca="1">DATE(YEAR(S217)+1,12,31)</f>
        <v>50405</v>
      </c>
    </row>
    <row r="218" spans="3:27" outlineLevel="3" x14ac:dyDescent="0.2">
      <c r="C218" s="1151" t="s">
        <v>267</v>
      </c>
      <c r="D218" s="1152"/>
      <c r="E218" s="529"/>
      <c r="F218" s="1152"/>
      <c r="G218" s="1152"/>
      <c r="H218" s="1180">
        <f ca="1">(M189)*G215/12</f>
        <v>0</v>
      </c>
      <c r="I218" s="1180">
        <f>(M189)*(1+$K$6)</f>
        <v>0</v>
      </c>
      <c r="J218" s="1180">
        <f>I218*(1+$K$6)</f>
        <v>0</v>
      </c>
      <c r="K218" s="1180">
        <f>J218*(1+$K$6)</f>
        <v>0</v>
      </c>
      <c r="L218" s="1180">
        <f>K218*(1+$K$6)</f>
        <v>0</v>
      </c>
      <c r="M218" s="1180">
        <f ca="1">IF(H216&lt;6,L218*(1+K6),L218*(1+L6))</f>
        <v>0</v>
      </c>
      <c r="N218" s="1180"/>
      <c r="O218" s="1180"/>
      <c r="P218" s="1180">
        <f ca="1">M218*(1+$L$6)</f>
        <v>0</v>
      </c>
      <c r="Q218" s="1180">
        <f ca="1">P218*(1+$L$6)</f>
        <v>0</v>
      </c>
      <c r="R218" s="1180">
        <f ca="1">Q218*(1+$L$6)</f>
        <v>0</v>
      </c>
      <c r="S218" s="1180">
        <f ca="1">R218*(1+$L$6)</f>
        <v>0</v>
      </c>
      <c r="T218" s="1181">
        <f ca="1">S218*(1+$L$6)</f>
        <v>0</v>
      </c>
      <c r="Y218" s="501"/>
      <c r="AA218" s="476"/>
    </row>
    <row r="219" spans="3:27" outlineLevel="3" x14ac:dyDescent="0.2">
      <c r="C219" s="402" t="s">
        <v>266</v>
      </c>
      <c r="H219" s="510">
        <f ca="1">(U196)*G215/12</f>
        <v>0</v>
      </c>
      <c r="I219" s="510">
        <f>(U196)*(1+$K$7)</f>
        <v>0</v>
      </c>
      <c r="J219" s="510">
        <f>I219*(1+$K$7)</f>
        <v>0</v>
      </c>
      <c r="K219" s="510">
        <f>J219*(1+$K$7)</f>
        <v>0</v>
      </c>
      <c r="L219" s="510">
        <f>K219*(1+$K$7)</f>
        <v>0</v>
      </c>
      <c r="M219" s="510">
        <f ca="1">IF(H216&lt;6,L219*(1+K7),L219*(1+L7))</f>
        <v>0</v>
      </c>
      <c r="N219" s="510"/>
      <c r="O219" s="510"/>
      <c r="P219" s="510">
        <f ca="1">M219*(1+$L$7)</f>
        <v>0</v>
      </c>
      <c r="Q219" s="510">
        <f ca="1">P219*(1+$L$7)</f>
        <v>0</v>
      </c>
      <c r="R219" s="510">
        <f ca="1">Q219*(1+$L$7)</f>
        <v>0</v>
      </c>
      <c r="S219" s="510">
        <f ca="1">R219*(1+$L$7)</f>
        <v>0</v>
      </c>
      <c r="T219" s="511">
        <f ca="1">S219*(1+$L$7)</f>
        <v>0</v>
      </c>
    </row>
    <row r="220" spans="3:27" outlineLevel="4" x14ac:dyDescent="0.2">
      <c r="C220" s="402" t="s">
        <v>265</v>
      </c>
      <c r="H220" s="510">
        <f t="shared" ref="H220:M220" ca="1" si="40">H218-H219</f>
        <v>0</v>
      </c>
      <c r="I220" s="510">
        <f t="shared" si="40"/>
        <v>0</v>
      </c>
      <c r="J220" s="510">
        <f t="shared" si="40"/>
        <v>0</v>
      </c>
      <c r="K220" s="510">
        <f t="shared" si="40"/>
        <v>0</v>
      </c>
      <c r="L220" s="510">
        <f t="shared" si="40"/>
        <v>0</v>
      </c>
      <c r="M220" s="510">
        <f t="shared" ca="1" si="40"/>
        <v>0</v>
      </c>
      <c r="N220" s="510"/>
      <c r="O220" s="510"/>
      <c r="P220" s="510">
        <f ca="1">P218-P219</f>
        <v>0</v>
      </c>
      <c r="Q220" s="510">
        <f ca="1">Q218-Q219</f>
        <v>0</v>
      </c>
      <c r="R220" s="510">
        <f ca="1">R218-R219</f>
        <v>0</v>
      </c>
      <c r="S220" s="510">
        <f ca="1">S218-S219</f>
        <v>0</v>
      </c>
      <c r="T220" s="511">
        <f ca="1">T218-T219</f>
        <v>0</v>
      </c>
    </row>
    <row r="221" spans="3:27" ht="5.0999999999999996" customHeight="1" outlineLevel="4" x14ac:dyDescent="0.2">
      <c r="C221" s="402"/>
      <c r="H221" s="510"/>
      <c r="I221" s="510"/>
      <c r="J221" s="510"/>
      <c r="K221" s="510"/>
      <c r="L221" s="510"/>
      <c r="M221" s="510"/>
      <c r="N221" s="510"/>
      <c r="O221" s="510"/>
      <c r="P221" s="510"/>
      <c r="Q221" s="510"/>
      <c r="R221" s="510"/>
      <c r="S221" s="510"/>
      <c r="T221" s="511"/>
    </row>
    <row r="222" spans="3:27" hidden="1" outlineLevel="4" x14ac:dyDescent="0.2">
      <c r="C222" s="666" t="s">
        <v>719</v>
      </c>
      <c r="D222" s="667"/>
      <c r="E222" s="667"/>
      <c r="F222" s="668"/>
      <c r="G222" s="668"/>
      <c r="H222" s="1182">
        <f>H223*0</f>
        <v>0</v>
      </c>
      <c r="I222" s="1182">
        <f>I223*0</f>
        <v>0</v>
      </c>
      <c r="J222" s="1182">
        <f t="shared" ref="J222:M223" si="41">I222*1.03</f>
        <v>0</v>
      </c>
      <c r="K222" s="1182">
        <f t="shared" si="41"/>
        <v>0</v>
      </c>
      <c r="L222" s="1182">
        <f t="shared" si="41"/>
        <v>0</v>
      </c>
      <c r="M222" s="1182">
        <f t="shared" si="41"/>
        <v>0</v>
      </c>
      <c r="N222" s="510"/>
      <c r="O222" s="510"/>
      <c r="P222" s="1182">
        <f>M222*1.03</f>
        <v>0</v>
      </c>
      <c r="Q222" s="1182">
        <f t="shared" ref="Q222:T223" si="42">P222*1.03</f>
        <v>0</v>
      </c>
      <c r="R222" s="1182">
        <f t="shared" si="42"/>
        <v>0</v>
      </c>
      <c r="S222" s="1182">
        <f t="shared" si="42"/>
        <v>0</v>
      </c>
      <c r="T222" s="669">
        <f t="shared" si="42"/>
        <v>0</v>
      </c>
    </row>
    <row r="223" spans="3:27" hidden="1" outlineLevel="4" x14ac:dyDescent="0.2">
      <c r="C223" s="666" t="s">
        <v>720</v>
      </c>
      <c r="D223" s="667"/>
      <c r="E223" s="667"/>
      <c r="F223" s="668"/>
      <c r="G223" s="668"/>
      <c r="H223" s="1182">
        <f>U186/2*0</f>
        <v>0</v>
      </c>
      <c r="I223" s="1182">
        <f>H223+H223</f>
        <v>0</v>
      </c>
      <c r="J223" s="1182">
        <f t="shared" si="41"/>
        <v>0</v>
      </c>
      <c r="K223" s="1182">
        <f t="shared" si="41"/>
        <v>0</v>
      </c>
      <c r="L223" s="1182">
        <f t="shared" si="41"/>
        <v>0</v>
      </c>
      <c r="M223" s="1182">
        <f t="shared" si="41"/>
        <v>0</v>
      </c>
      <c r="N223" s="510"/>
      <c r="O223" s="510"/>
      <c r="P223" s="1182">
        <f>M223*1.03</f>
        <v>0</v>
      </c>
      <c r="Q223" s="1182">
        <f t="shared" si="42"/>
        <v>0</v>
      </c>
      <c r="R223" s="1182">
        <f t="shared" si="42"/>
        <v>0</v>
      </c>
      <c r="S223" s="1182">
        <f t="shared" si="42"/>
        <v>0</v>
      </c>
      <c r="T223" s="669">
        <f t="shared" si="42"/>
        <v>0</v>
      </c>
    </row>
    <row r="224" spans="3:27" hidden="1" outlineLevel="4" x14ac:dyDescent="0.2">
      <c r="C224" s="666" t="s">
        <v>721</v>
      </c>
      <c r="D224" s="667"/>
      <c r="E224" s="667"/>
      <c r="F224" s="668"/>
      <c r="G224" s="668"/>
      <c r="H224" s="670">
        <f t="shared" ref="H224:M224" si="43">H222-H223</f>
        <v>0</v>
      </c>
      <c r="I224" s="670">
        <f t="shared" si="43"/>
        <v>0</v>
      </c>
      <c r="J224" s="670">
        <f t="shared" si="43"/>
        <v>0</v>
      </c>
      <c r="K224" s="670">
        <f t="shared" si="43"/>
        <v>0</v>
      </c>
      <c r="L224" s="670">
        <f t="shared" si="43"/>
        <v>0</v>
      </c>
      <c r="M224" s="670">
        <f t="shared" si="43"/>
        <v>0</v>
      </c>
      <c r="N224" s="510"/>
      <c r="O224" s="510"/>
      <c r="P224" s="670">
        <f>Q222-P223</f>
        <v>0</v>
      </c>
      <c r="Q224" s="670">
        <f>R222-Q223</f>
        <v>0</v>
      </c>
      <c r="R224" s="670">
        <f>S222-R223</f>
        <v>0</v>
      </c>
      <c r="S224" s="670">
        <f>T222-S223</f>
        <v>0</v>
      </c>
      <c r="T224" s="671">
        <f>T222-T223</f>
        <v>0</v>
      </c>
    </row>
    <row r="225" spans="3:27" ht="5.0999999999999996" hidden="1" customHeight="1" outlineLevel="4" x14ac:dyDescent="0.2">
      <c r="C225" s="402"/>
      <c r="H225" s="510"/>
      <c r="I225" s="510"/>
      <c r="J225" s="510"/>
      <c r="K225" s="510"/>
      <c r="L225" s="510"/>
      <c r="M225" s="510"/>
      <c r="N225" s="510"/>
      <c r="O225" s="510"/>
      <c r="P225" s="510"/>
      <c r="Q225" s="510"/>
      <c r="R225" s="510"/>
      <c r="S225" s="510"/>
      <c r="T225" s="511"/>
    </row>
    <row r="226" spans="3:27" hidden="1" outlineLevel="4" x14ac:dyDescent="0.2">
      <c r="C226" s="402" t="s">
        <v>722</v>
      </c>
      <c r="H226" s="510">
        <f t="shared" ref="H226:M226" ca="1" si="44">H220+H224</f>
        <v>0</v>
      </c>
      <c r="I226" s="510">
        <f t="shared" si="44"/>
        <v>0</v>
      </c>
      <c r="J226" s="510">
        <f t="shared" si="44"/>
        <v>0</v>
      </c>
      <c r="K226" s="510">
        <f t="shared" si="44"/>
        <v>0</v>
      </c>
      <c r="L226" s="510">
        <f t="shared" si="44"/>
        <v>0</v>
      </c>
      <c r="M226" s="510">
        <f t="shared" ca="1" si="44"/>
        <v>0</v>
      </c>
      <c r="N226" s="510"/>
      <c r="O226" s="510"/>
      <c r="P226" s="510">
        <f ca="1">P220+P224</f>
        <v>0</v>
      </c>
      <c r="Q226" s="510">
        <f ca="1">Q220+Q224</f>
        <v>0</v>
      </c>
      <c r="R226" s="510">
        <f ca="1">R220+R224</f>
        <v>0</v>
      </c>
      <c r="S226" s="510">
        <f ca="1">S220+S224</f>
        <v>0</v>
      </c>
      <c r="T226" s="511">
        <f ca="1">T220+T224</f>
        <v>0</v>
      </c>
      <c r="X226" s="407"/>
    </row>
    <row r="227" spans="3:27" ht="5.0999999999999996" customHeight="1" outlineLevel="3" x14ac:dyDescent="0.2">
      <c r="C227" s="402"/>
      <c r="H227" s="510"/>
      <c r="I227" s="510"/>
      <c r="J227" s="510"/>
      <c r="K227" s="510"/>
      <c r="L227" s="510"/>
      <c r="M227" s="510"/>
      <c r="N227" s="510"/>
      <c r="O227" s="510"/>
      <c r="P227" s="510"/>
      <c r="Q227" s="510"/>
      <c r="R227" s="510"/>
      <c r="S227" s="510"/>
      <c r="T227" s="511"/>
      <c r="X227" s="501"/>
    </row>
    <row r="228" spans="3:27" outlineLevel="3" x14ac:dyDescent="0.2">
      <c r="C228" s="402" t="s">
        <v>264</v>
      </c>
      <c r="H228" s="510">
        <f ca="1">SUM(M126:M131)*G215/12</f>
        <v>0</v>
      </c>
      <c r="I228" s="510">
        <f>SUM($M$126:$M$131)</f>
        <v>0</v>
      </c>
      <c r="J228" s="510">
        <f>SUM($M$126:$M$131)</f>
        <v>0</v>
      </c>
      <c r="K228" s="510">
        <f>SUM($M$126:$M$131)</f>
        <v>0</v>
      </c>
      <c r="L228" s="510">
        <f>SUM($M$126:$M$131)</f>
        <v>0</v>
      </c>
      <c r="M228" s="510">
        <f>SUM($M$126:$M$131)</f>
        <v>0</v>
      </c>
      <c r="N228" s="510"/>
      <c r="O228" s="510"/>
      <c r="P228" s="510">
        <f>SUM($P$126:$P$131)</f>
        <v>0</v>
      </c>
      <c r="Q228" s="510">
        <f>SUM($P$126:$P$131)</f>
        <v>0</v>
      </c>
      <c r="R228" s="510">
        <f>SUM($P$126:$P$131)</f>
        <v>0</v>
      </c>
      <c r="S228" s="510">
        <f>SUM($P$126:$P$131)</f>
        <v>0</v>
      </c>
      <c r="T228" s="511">
        <f>SUM($P$126:$P$131)</f>
        <v>0</v>
      </c>
      <c r="V228" s="656" t="s">
        <v>269</v>
      </c>
      <c r="W228" s="653"/>
      <c r="X228" s="501"/>
    </row>
    <row r="229" spans="3:27" outlineLevel="3" x14ac:dyDescent="0.2">
      <c r="C229" s="402" t="s">
        <v>263</v>
      </c>
      <c r="H229" s="510">
        <f ca="1">SUM($M$132:$M$140)*G215/12</f>
        <v>0</v>
      </c>
      <c r="I229" s="510">
        <f>SUM($M$132:$M$140)</f>
        <v>0</v>
      </c>
      <c r="J229" s="510">
        <f>SUM($M$132:$M$140)</f>
        <v>0</v>
      </c>
      <c r="K229" s="510">
        <f>SUM($M$132:$M$140)</f>
        <v>0</v>
      </c>
      <c r="L229" s="510">
        <f>SUM($M$132:$M$140)</f>
        <v>0</v>
      </c>
      <c r="M229" s="510">
        <f>SUM($M$132:$M$140)</f>
        <v>0</v>
      </c>
      <c r="N229" s="510"/>
      <c r="O229" s="510"/>
      <c r="P229" s="510">
        <f>SUM($P$132:$P$140)</f>
        <v>0</v>
      </c>
      <c r="Q229" s="510">
        <f>SUM($P$132:$P$140)</f>
        <v>0</v>
      </c>
      <c r="R229" s="510">
        <f>SUM($P$132:$P$140)</f>
        <v>0</v>
      </c>
      <c r="S229" s="510">
        <f>SUM($P$132:$P$140)</f>
        <v>0</v>
      </c>
      <c r="T229" s="511">
        <f>SUM($P$132:$P$140)</f>
        <v>0</v>
      </c>
      <c r="V229" s="512" t="str">
        <f>"Projected over "&amp; X229 &amp;" Years"</f>
        <v>Projected over 12 Years</v>
      </c>
      <c r="W229" s="513"/>
      <c r="X229" s="532">
        <v>12</v>
      </c>
      <c r="Y229" s="501"/>
      <c r="AA229" s="476"/>
    </row>
    <row r="230" spans="3:27" ht="5.0999999999999996" customHeight="1" outlineLevel="3" x14ac:dyDescent="0.2">
      <c r="C230" s="402"/>
      <c r="H230" s="510"/>
      <c r="I230" s="510"/>
      <c r="J230" s="510"/>
      <c r="K230" s="510"/>
      <c r="L230" s="510"/>
      <c r="M230" s="510"/>
      <c r="N230" s="510"/>
      <c r="O230" s="510"/>
      <c r="P230" s="510"/>
      <c r="Q230" s="510"/>
      <c r="R230" s="510"/>
      <c r="S230" s="510"/>
      <c r="T230" s="511"/>
      <c r="V230" s="402"/>
      <c r="W230" s="438"/>
      <c r="X230" s="501"/>
      <c r="Y230" s="501"/>
      <c r="AA230" s="476"/>
    </row>
    <row r="231" spans="3:27" ht="11.25" customHeight="1" outlineLevel="3" x14ac:dyDescent="0.2">
      <c r="C231" s="402" t="s">
        <v>262</v>
      </c>
      <c r="H231" s="510">
        <f t="shared" ref="H231:M231" ca="1" si="45">H226-(H228+H229)</f>
        <v>0</v>
      </c>
      <c r="I231" s="510">
        <f t="shared" si="45"/>
        <v>0</v>
      </c>
      <c r="J231" s="510">
        <f t="shared" si="45"/>
        <v>0</v>
      </c>
      <c r="K231" s="510">
        <f t="shared" si="45"/>
        <v>0</v>
      </c>
      <c r="L231" s="510">
        <f t="shared" si="45"/>
        <v>0</v>
      </c>
      <c r="M231" s="510">
        <f t="shared" ca="1" si="45"/>
        <v>0</v>
      </c>
      <c r="N231" s="510"/>
      <c r="O231" s="510"/>
      <c r="P231" s="510">
        <f ca="1">P226-(P228+P229)</f>
        <v>0</v>
      </c>
      <c r="Q231" s="510">
        <f ca="1">Q226-(Q228+Q229)</f>
        <v>0</v>
      </c>
      <c r="R231" s="510">
        <f ca="1">R226-(R228+R229)</f>
        <v>0</v>
      </c>
      <c r="S231" s="510">
        <f ca="1">S226-(S228+S229)</f>
        <v>0</v>
      </c>
      <c r="T231" s="511">
        <f ca="1">T226-(T228+T229)</f>
        <v>0</v>
      </c>
      <c r="V231" s="1776">
        <f ca="1">IF(X229=10,SUM(H231:T231),IF(X229=12,SUM(H231:T231)+H272+I272,IF(X229=15,SUM(H231:T231)+H272+I272+J272+K272+L272,"Enter Manually")))</f>
        <v>0</v>
      </c>
      <c r="W231" s="1777"/>
      <c r="X231" s="501"/>
      <c r="Y231" s="501"/>
      <c r="AA231" s="476"/>
    </row>
    <row r="232" spans="3:27" ht="11.25" customHeight="1" outlineLevel="3" x14ac:dyDescent="0.2">
      <c r="C232" s="402" t="s">
        <v>261</v>
      </c>
      <c r="H232" s="510">
        <f>IF($G$5=0,0,H231*(12/G215)/$G$5)</f>
        <v>0</v>
      </c>
      <c r="I232" s="510">
        <f>IF($G$5=0,0,I231/$G$5)</f>
        <v>0</v>
      </c>
      <c r="J232" s="510">
        <f>IF($G$5=0,0,J231/$G$5)</f>
        <v>0</v>
      </c>
      <c r="K232" s="510">
        <f>IF($G$5=0,0,K231/$G$5)</f>
        <v>0</v>
      </c>
      <c r="L232" s="510">
        <f>IF($G$5=0,0,L231/$G$5)</f>
        <v>0</v>
      </c>
      <c r="M232" s="510">
        <f>IF($G$5=0,0,M231/$G$5)</f>
        <v>0</v>
      </c>
      <c r="N232" s="510"/>
      <c r="O232" s="510"/>
      <c r="P232" s="510">
        <f>IF($G$5=0,0,P231/$G$5)</f>
        <v>0</v>
      </c>
      <c r="Q232" s="510">
        <f>IF($G$5=0,0,Q231/$G$5)</f>
        <v>0</v>
      </c>
      <c r="R232" s="510">
        <f>IF($G$5=0,0,R231/$G$5)</f>
        <v>0</v>
      </c>
      <c r="S232" s="510">
        <f>IF($G$5=0,0,S231/$G$5)</f>
        <v>0</v>
      </c>
      <c r="T232" s="511">
        <f>IF($G$5=0,0,T231/$G$5)</f>
        <v>0</v>
      </c>
      <c r="X232" s="501"/>
      <c r="Y232" s="501"/>
      <c r="AA232" s="476"/>
    </row>
    <row r="233" spans="3:27" ht="11.25" customHeight="1" outlineLevel="3" x14ac:dyDescent="0.2">
      <c r="C233" s="402"/>
      <c r="H233" s="407"/>
      <c r="I233" s="407"/>
      <c r="J233" s="407"/>
      <c r="K233" s="407"/>
      <c r="L233" s="407"/>
      <c r="M233" s="407"/>
      <c r="N233" s="407"/>
      <c r="O233" s="407"/>
      <c r="P233" s="407"/>
      <c r="Q233" s="407"/>
      <c r="R233" s="407"/>
      <c r="S233" s="407"/>
      <c r="T233" s="469"/>
      <c r="X233" s="501"/>
      <c r="Y233" s="501"/>
      <c r="AA233" s="476"/>
    </row>
    <row r="234" spans="3:27" outlineLevel="3" x14ac:dyDescent="0.2">
      <c r="C234" s="402" t="s">
        <v>260</v>
      </c>
      <c r="H234" s="514">
        <f ca="1">IF((H228+H229)=0,0,H226/(H228+H229))</f>
        <v>0</v>
      </c>
      <c r="I234" s="514">
        <f t="shared" ref="I234:M234" si="46">IF((I228+I229)=0,0,I226/(I228+I229))</f>
        <v>0</v>
      </c>
      <c r="J234" s="514">
        <f t="shared" si="46"/>
        <v>0</v>
      </c>
      <c r="K234" s="514">
        <f t="shared" si="46"/>
        <v>0</v>
      </c>
      <c r="L234" s="514">
        <f>IF((L228+L229)=0,0,L226/(L228+L229))</f>
        <v>0</v>
      </c>
      <c r="M234" s="514">
        <f t="shared" si="46"/>
        <v>0</v>
      </c>
      <c r="N234" s="514"/>
      <c r="O234" s="514"/>
      <c r="P234" s="514">
        <f>IF((P228+P229)=0,0,P226/(P228+P229))</f>
        <v>0</v>
      </c>
      <c r="Q234" s="514">
        <f>IF((Q228+Q229)=0,0,Q226/(Q228+Q229))</f>
        <v>0</v>
      </c>
      <c r="R234" s="514">
        <f>IF((R228+R229)=0,0,R226/(R228+R229))</f>
        <v>0</v>
      </c>
      <c r="S234" s="514">
        <f>IF((S228+S229)=0,0,S226/(S228+S229))</f>
        <v>0</v>
      </c>
      <c r="T234" s="515">
        <f>IF((T228+T229)=0,0,T226/(T228+T229))</f>
        <v>0</v>
      </c>
      <c r="X234" s="519"/>
      <c r="Y234" s="501"/>
      <c r="AA234" s="476"/>
    </row>
    <row r="235" spans="3:27" ht="11.25" customHeight="1" outlineLevel="3" x14ac:dyDescent="0.2">
      <c r="C235" s="402"/>
      <c r="H235" s="405"/>
      <c r="I235" s="405"/>
      <c r="J235" s="405"/>
      <c r="K235" s="405"/>
      <c r="L235" s="405"/>
      <c r="M235" s="405"/>
      <c r="N235" s="405"/>
      <c r="O235" s="405"/>
      <c r="P235" s="405"/>
      <c r="Q235" s="405"/>
      <c r="R235" s="405"/>
      <c r="S235" s="405"/>
      <c r="T235" s="406"/>
      <c r="X235" s="519"/>
      <c r="Y235" s="501"/>
      <c r="AA235" s="476"/>
    </row>
    <row r="236" spans="3:27" ht="11.25" hidden="1" customHeight="1" outlineLevel="3" x14ac:dyDescent="0.2">
      <c r="C236" s="471" t="str">
        <f t="shared" ref="C236:C241" si="47">E126</f>
        <v>0% Deferred Loan     -     FedHOME</v>
      </c>
      <c r="D236" s="421"/>
      <c r="E236" s="421"/>
      <c r="G236" s="407">
        <f>I126</f>
        <v>0</v>
      </c>
      <c r="H236" s="450">
        <f ca="1">(G236*J126)*(G215/12)+G236</f>
        <v>0</v>
      </c>
      <c r="I236" s="516">
        <f ca="1">H236*(1+$J$126)</f>
        <v>0</v>
      </c>
      <c r="J236" s="516">
        <f t="shared" ref="J236:M236" ca="1" si="48">I236*(1+$J$126)</f>
        <v>0</v>
      </c>
      <c r="K236" s="516">
        <f t="shared" ca="1" si="48"/>
        <v>0</v>
      </c>
      <c r="L236" s="516">
        <f t="shared" ca="1" si="48"/>
        <v>0</v>
      </c>
      <c r="M236" s="516">
        <f t="shared" ca="1" si="48"/>
        <v>0</v>
      </c>
      <c r="N236" s="516"/>
      <c r="O236" s="516"/>
      <c r="P236" s="516">
        <f ca="1">M236*(1+$J$126)</f>
        <v>0</v>
      </c>
      <c r="Q236" s="516">
        <f t="shared" ref="Q236:T236" ca="1" si="49">P236*(1+$J$126)</f>
        <v>0</v>
      </c>
      <c r="R236" s="516">
        <f t="shared" ca="1" si="49"/>
        <v>0</v>
      </c>
      <c r="S236" s="516">
        <f t="shared" ca="1" si="49"/>
        <v>0</v>
      </c>
      <c r="T236" s="477">
        <f t="shared" ca="1" si="49"/>
        <v>0</v>
      </c>
      <c r="X236" s="519"/>
      <c r="Y236" s="501"/>
      <c r="AA236" s="476"/>
    </row>
    <row r="237" spans="3:27" ht="11.25" hidden="1" customHeight="1" outlineLevel="3" x14ac:dyDescent="0.2">
      <c r="C237" s="471" t="str">
        <f t="shared" si="47"/>
        <v>0% Deferred Loan 2</v>
      </c>
      <c r="D237" s="421"/>
      <c r="E237" s="421"/>
      <c r="G237" s="407">
        <f>I127</f>
        <v>0</v>
      </c>
      <c r="H237" s="450">
        <f ca="1">(G237*J127)*(G215/12)+G237</f>
        <v>0</v>
      </c>
      <c r="I237" s="516">
        <f ca="1">H237*(1+$J$127)</f>
        <v>0</v>
      </c>
      <c r="J237" s="516">
        <f t="shared" ref="J237:T237" ca="1" si="50">I237*(1+$J$127)</f>
        <v>0</v>
      </c>
      <c r="K237" s="516">
        <f t="shared" ca="1" si="50"/>
        <v>0</v>
      </c>
      <c r="L237" s="516">
        <f t="shared" ca="1" si="50"/>
        <v>0</v>
      </c>
      <c r="M237" s="516">
        <f t="shared" ca="1" si="50"/>
        <v>0</v>
      </c>
      <c r="N237" s="516">
        <f t="shared" ca="1" si="50"/>
        <v>0</v>
      </c>
      <c r="O237" s="516">
        <f t="shared" ca="1" si="50"/>
        <v>0</v>
      </c>
      <c r="P237" s="516">
        <f t="shared" ca="1" si="50"/>
        <v>0</v>
      </c>
      <c r="Q237" s="516">
        <f t="shared" ca="1" si="50"/>
        <v>0</v>
      </c>
      <c r="R237" s="516">
        <f t="shared" ca="1" si="50"/>
        <v>0</v>
      </c>
      <c r="S237" s="516">
        <f t="shared" ca="1" si="50"/>
        <v>0</v>
      </c>
      <c r="T237" s="477">
        <f t="shared" ca="1" si="50"/>
        <v>0</v>
      </c>
      <c r="X237" s="519"/>
      <c r="Y237" s="501"/>
      <c r="AA237" s="476"/>
    </row>
    <row r="238" spans="3:27" ht="11.25" hidden="1" customHeight="1" outlineLevel="3" x14ac:dyDescent="0.2">
      <c r="C238" s="471" t="str">
        <f t="shared" si="47"/>
        <v>0% Deferred Loan 3</v>
      </c>
      <c r="D238" s="421"/>
      <c r="E238" s="421"/>
      <c r="G238" s="407">
        <f>I128</f>
        <v>0</v>
      </c>
      <c r="H238" s="450">
        <f ca="1">(G238*J128)*(G215/12)+G238</f>
        <v>0</v>
      </c>
      <c r="I238" s="516">
        <f ca="1">H238*(1+$J$128)</f>
        <v>0</v>
      </c>
      <c r="J238" s="516">
        <f ca="1">I238*(1+$J$128)</f>
        <v>0</v>
      </c>
      <c r="K238" s="516">
        <f ca="1">J238*(1+$J$128)</f>
        <v>0</v>
      </c>
      <c r="L238" s="516">
        <f ca="1">K238*(1+$J$128)</f>
        <v>0</v>
      </c>
      <c r="M238" s="516">
        <f ca="1">L238*(1+$J$128)</f>
        <v>0</v>
      </c>
      <c r="N238" s="516"/>
      <c r="O238" s="516"/>
      <c r="P238" s="516">
        <f ca="1">M238*(1+$J$128)</f>
        <v>0</v>
      </c>
      <c r="Q238" s="516">
        <f ca="1">P238*(1+$J$128)</f>
        <v>0</v>
      </c>
      <c r="R238" s="516">
        <f ca="1">Q238*(1+$J$128)</f>
        <v>0</v>
      </c>
      <c r="S238" s="516">
        <f ca="1">R238*(1+$J$128)</f>
        <v>0</v>
      </c>
      <c r="T238" s="477">
        <f ca="1">S238*(1+$J$128)</f>
        <v>0</v>
      </c>
      <c r="X238" s="519"/>
      <c r="Y238" s="501"/>
      <c r="AA238" s="476"/>
    </row>
    <row r="239" spans="3:27" ht="11.25" hidden="1" customHeight="1" outlineLevel="3" x14ac:dyDescent="0.2">
      <c r="C239" s="471" t="str">
        <f t="shared" si="47"/>
        <v xml:space="preserve">MH Interest Bearing Loan </v>
      </c>
      <c r="D239" s="421"/>
      <c r="E239" s="421"/>
      <c r="G239" s="407">
        <f>I129</f>
        <v>0</v>
      </c>
      <c r="H239" s="516">
        <f>IF($I$129=0,0,IF($K$129=0,0,IF(Sources!$G$39="Interest Only for 30 years",G239,IF(OR(Sources!$G$39="Interest Only for 15 yrs., then 40 year Am with Balloon",Sources!$G$39="Interest Only for 15 yrs., then 30 year Am with Balloon"),IF(H$216&lt;=180,G239,$I$129+CUMPRINC($J$129/12,$K$129*12,$I$129,1,H$216-180,0)),$I$129+CUMPRINC($J$129/12,$K$129*12,$I$129,1,H$216,0)))))</f>
        <v>0</v>
      </c>
      <c r="I239" s="516">
        <f>IF($I$129=0,0,IF($K$129=0,0,IF(Sources!$G$39="Interest Only for 30 years",H239,IF(OR(Sources!$G$39="Interest Only for 15 yrs., then 40 year Am with Balloon",Sources!$G$39="Interest Only for 15 yrs., then 30 year Am with Balloon"),IF(I$216&lt;=180,H239,$I$129+CUMPRINC($J$129/12,$K$129*12,$I$129,1,I$216-180,0)),$I$129+CUMPRINC($J$129/12,$K$129*12,$I$129,1,I$216,0)))))</f>
        <v>0</v>
      </c>
      <c r="J239" s="516">
        <f>IF($I$129=0,0,IF($K$129=0,0,IF(Sources!$G$39="Interest Only for 30 years",I239,IF(OR(Sources!$G$39="Interest Only for 15 yrs., then 40 year Am with Balloon",Sources!$G$39="Interest Only for 15 yrs., then 30 year Am with Balloon"),IF(J$216&lt;=180,I239,$I$129+CUMPRINC($J$129/12,$K$129*12,$I$129,1,J$216-180,0)),$I$129+CUMPRINC($J$129/12,$K$129*12,$I$129,1,J$216,0)))))</f>
        <v>0</v>
      </c>
      <c r="K239" s="516">
        <f>IF($I$129=0,0,IF($K$129=0,0,IF(Sources!$G$39="Interest Only for 30 years",J239,IF(OR(Sources!$G$39="Interest Only for 15 yrs., then 40 year Am with Balloon",Sources!$G$39="Interest Only for 15 yrs., then 30 year Am with Balloon"),IF(K$216&lt;=180,J239,$I$129+CUMPRINC($J$129/12,$K$129*12,$I$129,1,K$216-180,0)),$I$129+CUMPRINC($J$129/12,$K$129*12,$I$129,1,K$216,0)))))</f>
        <v>0</v>
      </c>
      <c r="L239" s="516">
        <f>IF($I$129=0,0,IF($K$129=0,0,IF(Sources!$G$39="Interest Only for 30 years",K239,IF(OR(Sources!$G$39="Interest Only for 15 yrs., then 40 year Am with Balloon",Sources!$G$39="Interest Only for 15 yrs., then 30 year Am with Balloon"),IF(L$216&lt;=180,K239,$I$129+CUMPRINC($J$129/12,$K$129*12,$I$129,1,L$216-180,0)),$I$129+CUMPRINC($J$129/12,$K$129*12,$I$129,1,L$216,0)))))</f>
        <v>0</v>
      </c>
      <c r="M239" s="516">
        <f>IF($I$129=0,0,IF($K$129=0,0,IF(Sources!$G$39="Interest Only for 30 years",L239,IF(OR(Sources!$G$39="Interest Only for 15 yrs., then 40 year Am with Balloon",Sources!$G$39="Interest Only for 15 yrs., then 30 year Am with Balloon"),IF(M$216&lt;=180,L239,$I$129+CUMPRINC($J$129/12,$K$129*12,$I$129,1,M$216-180,0)),$I$129+CUMPRINC($J$129/12,$K$129*12,$I$129,1,M$216,0)))))</f>
        <v>0</v>
      </c>
      <c r="N239" s="516"/>
      <c r="O239" s="516"/>
      <c r="P239" s="516">
        <f>IF($I$129=0,0,IF($K$129=0,0,IF(Sources!$G$39="Interest Only for 30 years",M239,IF(OR(Sources!$G$39="Interest Only for 15 yrs., then 40 year Am with Balloon",Sources!$G$39="Interest Only for 15 yrs., then 30 year Am with Balloon"),IF(P$216&lt;=180,M239,$I$129+CUMPRINC($J$129/12,$K$129*12,$I$129,1,P$216-180,0)),$I$129+CUMPRINC($J$129/12,$K$129*12,$I$129,1,P$216,0)))))</f>
        <v>0</v>
      </c>
      <c r="Q239" s="516">
        <f>IF($I$129=0,0,IF($K$129=0,0,IF(Sources!$G$39="Interest Only for 30 years",P239,IF(OR(Sources!$G$39="Interest Only for 15 yrs., then 40 year Am with Balloon",Sources!$G$39="Interest Only for 15 yrs., then 30 year Am with Balloon"),IF(Q$216&lt;=180,P239,$I$129+CUMPRINC($J$129/12,$K$129*12,$I$129,1,Q$216-180,0)),$I$129+CUMPRINC($J$129/12,$K$129*12,$I$129,1,Q$216,0)))))</f>
        <v>0</v>
      </c>
      <c r="R239" s="516">
        <f>IF($I$129=0,0,IF($K$129=0,0,IF(Sources!$G$39="Interest Only for 30 years",Q239,IF(OR(Sources!$G$39="Interest Only for 15 yrs., then 40 year Am with Balloon",Sources!$G$39="Interest Only for 15 yrs., then 30 year Am with Balloon"),IF(R$216&lt;=180,Q239,$I$129+CUMPRINC($J$129/12,$K$129*12,$I$129,1,R$216-180,0)),$I$129+CUMPRINC($J$129/12,$K$129*12,$I$129,1,R$216,0)))))</f>
        <v>0</v>
      </c>
      <c r="S239" s="516">
        <f>IF($I$129=0,0,IF($K$129=0,0,IF(Sources!$G$39="Interest Only for 30 years",R239,IF(OR(Sources!$G$39="Interest Only for 15 yrs., then 40 year Am with Balloon",Sources!$G$39="Interest Only for 15 yrs., then 30 year Am with Balloon"),IF(S$216&lt;=180,R239,$I$129+CUMPRINC($J$129/12,$K$129*12,$I$129,1,S$216-180,0)),$I$129+CUMPRINC($J$129/12,$K$129*12,$I$129,1,S$216,0)))))</f>
        <v>0</v>
      </c>
      <c r="T239" s="477">
        <f>IF($I$129=0,0,IF($K$129=0,0,IF(Sources!$G$39="Interest Only for 30 years",S239,IF(OR(Sources!$G$39="Interest Only for 15 yrs., then 40 year Am with Balloon",Sources!$G$39="Interest Only for 15 yrs., then 30 year Am with Balloon"),IF(T$216&lt;=180,S239,$I$129+CUMPRINC($J$129/12,$K$129*12,$I$129,1,T$216-180,0)),$I$129+CUMPRINC($J$129/12,$K$129*12,$I$129,1,T$216,0)))))</f>
        <v>0</v>
      </c>
      <c r="X239" s="519"/>
      <c r="Y239" s="501"/>
      <c r="AA239" s="476"/>
    </row>
    <row r="240" spans="3:27" ht="11.25" hidden="1" customHeight="1" outlineLevel="3" x14ac:dyDescent="0.2">
      <c r="C240" s="471" t="str">
        <f t="shared" si="47"/>
        <v>MH Interest Bearing Loan #2</v>
      </c>
      <c r="D240" s="421"/>
      <c r="E240" s="421"/>
      <c r="G240" s="407">
        <f>I130</f>
        <v>0</v>
      </c>
      <c r="H240" s="516">
        <f>IF($I$130=0,0,IF($K$130=0,0,IF(Sources!$G$40="Interest Only for 30 years",G240,IF(OR(Sources!$G$40="Interest Only for 15 yrs., then 40 year Am with Balloon",Sources!$G$40="Interest Only for 15 yrs., then 30 year Am with Balloon"),IF(H$216&lt;=180,G240,$I$130+CUMPRINC($J$130/12,$K$130*12,$I$130,1,H$216-180,0)),$I$130+CUMPRINC($J$130/12,$K$130*12,$I$130,1,H$216,0)))))</f>
        <v>0</v>
      </c>
      <c r="I240" s="516">
        <f>IF($I$130=0,0,IF($K$130=0,0,IF(Sources!$G$40="Interest Only for 30 years",H240,IF(OR(Sources!$G$40="Interest Only for 15 yrs., then 40 year Am with Balloon",Sources!$G$40="Interest Only for 15 yrs., then 30 year Am with Balloon"),IF(I$216&lt;=180,H240,$I$130+CUMPRINC($J$130/12,$K$130*12,$I$130,1,I$216-180,0)),$I$130+CUMPRINC($J$130/12,$K$130*12,$I$130,1,I$216,0)))))</f>
        <v>0</v>
      </c>
      <c r="J240" s="516">
        <f>IF($I$130=0,0,IF($K$130=0,0,IF(Sources!$G$40="Interest Only for 30 years",I240,IF(OR(Sources!$G$40="Interest Only for 15 yrs., then 40 year Am with Balloon",Sources!$G$40="Interest Only for 15 yrs., then 30 year Am with Balloon"),IF(J$216&lt;=180,I240,$I$130+CUMPRINC($J$130/12,$K$130*12,$I$130,1,J$216-180,0)),$I$130+CUMPRINC($J$130/12,$K$130*12,$I$130,1,J$216,0)))))</f>
        <v>0</v>
      </c>
      <c r="K240" s="516">
        <f>IF($I$130=0,0,IF($K$130=0,0,IF(Sources!$G$40="Interest Only for 30 years",J240,IF(OR(Sources!$G$40="Interest Only for 15 yrs., then 40 year Am with Balloon",Sources!$G$40="Interest Only for 15 yrs., then 30 year Am with Balloon"),IF(K$216&lt;=180,J240,$I$130+CUMPRINC($J$130/12,$K$130*12,$I$130,1,K$216-180,0)),$I$130+CUMPRINC($J$130/12,$K$130*12,$I$130,1,K$216,0)))))</f>
        <v>0</v>
      </c>
      <c r="L240" s="516">
        <f>IF($I$130=0,0,IF($K$130=0,0,IF(Sources!$G$40="Interest Only for 30 years",K240,IF(OR(Sources!$G$40="Interest Only for 15 yrs., then 40 year Am with Balloon",Sources!$G$40="Interest Only for 15 yrs., then 30 year Am with Balloon"),IF(L$216&lt;=180,K240,$I$130+CUMPRINC($J$130/12,$K$130*12,$I$130,1,L$216-180,0)),$I$130+CUMPRINC($J$130/12,$K$130*12,$I$130,1,L$216,0)))))</f>
        <v>0</v>
      </c>
      <c r="M240" s="516">
        <f>IF($I$130=0,0,IF($K$130=0,0,IF(Sources!$G$40="Interest Only for 30 years",L240,IF(OR(Sources!$G$40="Interest Only for 15 yrs., then 40 year Am with Balloon",Sources!$G$40="Interest Only for 15 yrs., then 30 year Am with Balloon"),IF(M$216&lt;=180,L240,$I$130+CUMPRINC($J$130/12,$K$130*12,$I$130,1,M$216-180,0)),$I$130+CUMPRINC($J$130/12,$K$130*12,$I$130,1,M$216,0)))))</f>
        <v>0</v>
      </c>
      <c r="N240" s="516"/>
      <c r="O240" s="516"/>
      <c r="P240" s="516">
        <f>IF($I$130=0,0,IF($K$130=0,0,IF(Sources!$G$40="Interest Only for 30 years",M240,IF(OR(Sources!$G$40="Interest Only for 15 yrs., then 40 year Am with Balloon",Sources!$G$40="Interest Only for 15 yrs., then 30 year Am with Balloon"),IF(P$216&lt;=180,M240,$I$130+CUMPRINC($J$130/12,$K$130*12,$I$130,1,P$216-180,0)),$I$130+CUMPRINC($J$130/12,$K$130*12,$I$130,1,P$216,0)))))</f>
        <v>0</v>
      </c>
      <c r="Q240" s="516">
        <f>IF($I$130=0,0,IF($K$130=0,0,IF(Sources!$G$40="Interest Only for 30 years",P240,IF(OR(Sources!$G$40="Interest Only for 15 yrs., then 40 year Am with Balloon",Sources!$G$40="Interest Only for 15 yrs., then 30 year Am with Balloon"),IF(Q$216&lt;=180,P240,$I$130+CUMPRINC($J$130/12,$K$130*12,$I$130,1,Q$216-180,0)),$I$130+CUMPRINC($J$130/12,$K$130*12,$I$130,1,Q$216,0)))))</f>
        <v>0</v>
      </c>
      <c r="R240" s="516">
        <f>IF($I$130=0,0,IF($K$130=0,0,IF(Sources!$G$40="Interest Only for 30 years",Q240,IF(OR(Sources!$G$40="Interest Only for 15 yrs., then 40 year Am with Balloon",Sources!$G$40="Interest Only for 15 yrs., then 30 year Am with Balloon"),IF(R$216&lt;=180,Q240,$I$130+CUMPRINC($J$130/12,$K$130*12,$I$130,1,R$216-180,0)),$I$130+CUMPRINC($J$130/12,$K$130*12,$I$130,1,R$216,0)))))</f>
        <v>0</v>
      </c>
      <c r="S240" s="516">
        <f>IF($I$130=0,0,IF($K$130=0,0,IF(Sources!$G$40="Interest Only for 30 years",R240,IF(OR(Sources!$G$40="Interest Only for 15 yrs., then 40 year Am with Balloon",Sources!$G$40="Interest Only for 15 yrs., then 30 year Am with Balloon"),IF(S$216&lt;=180,R240,$I$130+CUMPRINC($J$130/12,$K$130*12,$I$130,1,S$216-180,0)),$I$130+CUMPRINC($J$130/12,$K$130*12,$I$130,1,S$216,0)))))</f>
        <v>0</v>
      </c>
      <c r="T240" s="477">
        <f>IF($I$130=0,0,IF($K$130=0,0,IF(Sources!$G$40="Interest Only for 30 years",S240,IF(OR(Sources!$G$40="Interest Only for 15 yrs., then 40 year Am with Balloon",Sources!$G$40="Interest Only for 15 yrs., then 30 year Am with Balloon"),IF(T$216&lt;=180,S240,$I$130+CUMPRINC($J$130/12,$K$130*12,$I$130,1,T$216-180,0)),$I$130+CUMPRINC($J$130/12,$K$130*12,$I$130,1,T$216,0)))))</f>
        <v>0</v>
      </c>
      <c r="X240" s="519"/>
      <c r="Y240" s="501"/>
      <c r="AA240" s="476"/>
    </row>
    <row r="241" spans="3:27" ht="11.25" hidden="1" customHeight="1" outlineLevel="3" x14ac:dyDescent="0.2">
      <c r="C241" s="471" t="str">
        <f t="shared" si="47"/>
        <v>MH Interest Bearing Loan #3</v>
      </c>
      <c r="D241" s="421"/>
      <c r="E241" s="421"/>
      <c r="G241" s="407">
        <f>IF('Tax Credit Calculations'!$D$38="Yes",0,I131)</f>
        <v>0</v>
      </c>
      <c r="H241" s="516">
        <f>IF($G$241=0,0,IF($K$131=0,0,IF(Sources!$G$41="Interest Only for 30 years",G241,IF(OR(Sources!$G$41="Interest Only for 15 yrs., then 40 year Am with Balloon",Sources!$G$41="Interest Only for 15 yrs., then 30 year Am with Balloon"),IF(H$216&lt;=180,G241,$I$131+CUMPRINC($J$131/12,$K$131*12,$I$131,1,H$216-180,0)),$I$131+CUMPRINC($J$131/12,$K$131*12,$I$131,1,H$216,0)))))</f>
        <v>0</v>
      </c>
      <c r="I241" s="516">
        <f>IF($G$241=0,0,IF($K$131=0,0,IF(Sources!$G$41="Interest Only for 30 years",H241,IF(OR(Sources!$G$41="Interest Only for 15 yrs., then 40 year Am with Balloon",Sources!$G$41="Interest Only for 15 yrs., then 30 year Am with Balloon"),IF(I$216&lt;=180,H241,$I$131+CUMPRINC($J$131/12,$K$131*12,$I$131,1,I$216-180,0)),$I$131+CUMPRINC($J$131/12,$K$131*12,$I$131,1,I$216,0)))))</f>
        <v>0</v>
      </c>
      <c r="J241" s="516">
        <f>IF($G$241=0,0,IF($K$131=0,0,IF(Sources!$G$41="Interest Only for 30 years",I241,IF(OR(Sources!$G$41="Interest Only for 15 yrs., then 40 year Am with Balloon",Sources!$G$41="Interest Only for 15 yrs., then 30 year Am with Balloon"),IF(J$216&lt;=180,I241,$I$131+CUMPRINC($J$131/12,$K$131*12,$I$131,1,J$216-180,0)),$I$131+CUMPRINC($J$131/12,$K$131*12,$I$131,1,J$216,0)))))</f>
        <v>0</v>
      </c>
      <c r="K241" s="516">
        <f>IF($G$241=0,0,IF($K$131=0,0,IF(Sources!$G$41="Interest Only for 30 years",J241,IF(OR(Sources!$G$41="Interest Only for 15 yrs., then 40 year Am with Balloon",Sources!$G$41="Interest Only for 15 yrs., then 30 year Am with Balloon"),IF(K$216&lt;=180,J241,$I$131+CUMPRINC($J$131/12,$K$131*12,$I$131,1,K$216-180,0)),$I$131+CUMPRINC($J$131/12,$K$131*12,$I$131,1,K$216,0)))))</f>
        <v>0</v>
      </c>
      <c r="L241" s="516">
        <f>IF($G$241=0,0,IF($K$131=0,0,IF(Sources!$G$41="Interest Only for 30 years",K241,IF(OR(Sources!$G$41="Interest Only for 15 yrs., then 40 year Am with Balloon",Sources!$G$41="Interest Only for 15 yrs., then 30 year Am with Balloon"),IF(L$216&lt;=180,K241,$I$131+CUMPRINC($J$131/12,$K$131*12,$I$131,1,L$216-180,0)),$I$131+CUMPRINC($J$131/12,$K$131*12,$I$131,1,L$216,0)))))</f>
        <v>0</v>
      </c>
      <c r="M241" s="516">
        <f>IF($G$241=0,0,IF($K$131=0,0,IF(Sources!$G$41="Interest Only for 30 years",L241,IF(OR(Sources!$G$41="Interest Only for 15 yrs., then 40 year Am with Balloon",Sources!$G$41="Interest Only for 15 yrs., then 30 year Am with Balloon"),IF(M$216&lt;=180,L241,$I$131+CUMPRINC($J$131/12,$K$131*12,$I$131,1,M$216-180,0)),$I$131+CUMPRINC($J$131/12,$K$131*12,$I$131,1,M$216,0)))))</f>
        <v>0</v>
      </c>
      <c r="N241" s="516"/>
      <c r="O241" s="516"/>
      <c r="P241" s="516">
        <f>IF($G$241=0,0,IF($K$131=0,0,IF(Sources!$G$41="Interest Only for 30 years",M241,IF(OR(Sources!$G$41="Interest Only for 15 yrs., then 40 year Am with Balloon",Sources!$G$41="Interest Only for 15 yrs., then 30 year Am with Balloon"),IF(P$216&lt;=180,M241,$I$131+CUMPRINC($J$131/12,$K$131*12,$I$131,1,P$216-180,0)),$I$131+CUMPRINC($J$131/12,$K$131*12,$I$131,1,P$216,0)))))</f>
        <v>0</v>
      </c>
      <c r="Q241" s="516">
        <f>IF($G$241=0,0,IF($K$131=0,0,IF(Sources!$G$41="Interest Only for 30 years",P241,IF(OR(Sources!$G$41="Interest Only for 15 yrs., then 40 year Am with Balloon",Sources!$G$41="Interest Only for 15 yrs., then 30 year Am with Balloon"),IF(Q$216&lt;=180,P241,$I$131+CUMPRINC($J$131/12,$K$131*12,$I$131,1,Q$216-180,0)),$I$131+CUMPRINC($J$131/12,$K$131*12,$I$131,1,Q$216,0)))))</f>
        <v>0</v>
      </c>
      <c r="R241" s="516">
        <f>IF($G$241=0,0,IF($K$131=0,0,IF(Sources!$G$41="Interest Only for 30 years",Q241,IF(OR(Sources!$G$41="Interest Only for 15 yrs., then 40 year Am with Balloon",Sources!$G$41="Interest Only for 15 yrs., then 30 year Am with Balloon"),IF(R$216&lt;=180,Q241,$I$131+CUMPRINC($J$131/12,$K$131*12,$I$131,1,R$216-180,0)),$I$131+CUMPRINC($J$131/12,$K$131*12,$I$131,1,R$216,0)))))</f>
        <v>0</v>
      </c>
      <c r="S241" s="516">
        <f>IF($G$241=0,0,IF($K$131=0,0,IF(Sources!$G$41="Interest Only for 30 years",R241,IF(OR(Sources!$G$41="Interest Only for 15 yrs., then 40 year Am with Balloon",Sources!$G$41="Interest Only for 15 yrs., then 30 year Am with Balloon"),IF(S$216&lt;=180,R241,$I$131+CUMPRINC($J$131/12,$K$131*12,$I$131,1,S$216-180,0)),$I$131+CUMPRINC($J$131/12,$K$131*12,$I$131,1,S$216,0)))))</f>
        <v>0</v>
      </c>
      <c r="T241" s="477">
        <f>IF($G$241=0,0,IF($K$131=0,0,IF(Sources!$G$41="Interest Only for 30 years",S241,IF(OR(Sources!$G$41="Interest Only for 15 yrs., then 40 year Am with Balloon",Sources!$G$41="Interest Only for 15 yrs., then 30 year Am with Balloon"),IF(T$216&lt;=180,S241,$I$131+CUMPRINC($J$131/12,$K$131*12,$I$131,1,T$216-180,0)),$I$131+CUMPRINC($J$131/12,$K$131*12,$I$131,1,T$216,0)))))</f>
        <v>0</v>
      </c>
      <c r="X241" s="519"/>
      <c r="Y241" s="501"/>
      <c r="AA241" s="476"/>
    </row>
    <row r="242" spans="3:27" outlineLevel="3" x14ac:dyDescent="0.2">
      <c r="C242" s="402" t="s">
        <v>259</v>
      </c>
      <c r="G242" s="516">
        <f t="shared" ref="G242:M242" si="51">SUM(G236:G241)</f>
        <v>0</v>
      </c>
      <c r="H242" s="516">
        <f t="shared" ca="1" si="51"/>
        <v>0</v>
      </c>
      <c r="I242" s="516">
        <f t="shared" ca="1" si="51"/>
        <v>0</v>
      </c>
      <c r="J242" s="516">
        <f t="shared" ca="1" si="51"/>
        <v>0</v>
      </c>
      <c r="K242" s="516">
        <f t="shared" ca="1" si="51"/>
        <v>0</v>
      </c>
      <c r="L242" s="516">
        <f t="shared" ca="1" si="51"/>
        <v>0</v>
      </c>
      <c r="M242" s="516">
        <f t="shared" ca="1" si="51"/>
        <v>0</v>
      </c>
      <c r="N242" s="516"/>
      <c r="O242" s="516"/>
      <c r="P242" s="516">
        <f ca="1">SUM(P236:P241)</f>
        <v>0</v>
      </c>
      <c r="Q242" s="516">
        <f ca="1">SUM(Q236:Q241)</f>
        <v>0</v>
      </c>
      <c r="R242" s="516">
        <f ca="1">SUM(R236:R241)</f>
        <v>0</v>
      </c>
      <c r="S242" s="516">
        <f ca="1">SUM(S236:S241)</f>
        <v>0</v>
      </c>
      <c r="T242" s="477">
        <f ca="1">SUM(T236:T241)</f>
        <v>0</v>
      </c>
      <c r="X242" s="519"/>
      <c r="Y242" s="501"/>
      <c r="AA242" s="476"/>
    </row>
    <row r="243" spans="3:27" ht="11.25" hidden="1" customHeight="1" outlineLevel="3" x14ac:dyDescent="0.2">
      <c r="C243" s="402"/>
      <c r="H243" s="507"/>
      <c r="I243" s="507"/>
      <c r="J243" s="507"/>
      <c r="K243" s="507"/>
      <c r="L243" s="507"/>
      <c r="M243" s="507"/>
      <c r="N243" s="507"/>
      <c r="O243" s="394"/>
      <c r="P243" s="507"/>
      <c r="Q243" s="507"/>
      <c r="R243" s="507"/>
      <c r="S243" s="507"/>
      <c r="T243" s="479"/>
      <c r="X243" s="519"/>
      <c r="Y243" s="501"/>
      <c r="AA243" s="476"/>
    </row>
    <row r="244" spans="3:27" hidden="1" outlineLevel="3" x14ac:dyDescent="0.2">
      <c r="C244" s="471" t="str">
        <f t="shared" ref="C244:C249" si="52">E132</f>
        <v>AHP Subsidized Advance</v>
      </c>
      <c r="D244" s="421"/>
      <c r="E244" s="421"/>
      <c r="G244" s="407">
        <f t="shared" ref="G244:G249" si="53">I132</f>
        <v>0</v>
      </c>
      <c r="H244" s="516">
        <f>IF(I132=0,0,IF(K132=0,0,I132+CUMPRINC(J132/12,K132*12,I132,1,H$216,0)))</f>
        <v>0</v>
      </c>
      <c r="I244" s="516">
        <f>IF($I132=0,0,IF(I$216&gt;$K132*12,"",$I132+CUMPRINC($J132/12,$K132*12,$I132,1,I$216,0)))</f>
        <v>0</v>
      </c>
      <c r="J244" s="516">
        <f>IF($I132=0,0,IF(J$216&gt;$K132*12,"",$I132+CUMPRINC($J132/12,$K132*12,$I132,1,J$216,0)))</f>
        <v>0</v>
      </c>
      <c r="K244" s="516">
        <f>IF($I132=0,0,IF(K$216&gt;$K132*12,"",$I132+CUMPRINC($J132/12,$K132*12,$I132,1,K$216,0)))</f>
        <v>0</v>
      </c>
      <c r="L244" s="516">
        <f>IF($I132=0,0,IF(L$216&gt;$K132*12,"",$I132+CUMPRINC($J132/12,$K132*12,$I132,1,L$216,0)))</f>
        <v>0</v>
      </c>
      <c r="M244" s="516">
        <f>IF($I132=0,0,IF(M$216&gt;$K132*12,"",$I132+CUMPRINC($J132/12,$K132*12,$I132,1,M$216,0)))</f>
        <v>0</v>
      </c>
      <c r="N244" s="516"/>
      <c r="O244" s="510"/>
      <c r="P244" s="516">
        <f>IF($I132=0,0,IF(P$216&gt;$K132*12,"",$I132+CUMPRINC($J132/12,$K132*12,$I132,1,P$216,0)))</f>
        <v>0</v>
      </c>
      <c r="Q244" s="516">
        <f>IF($I132=0,0,IF(Q$216&gt;$K132*12,"",$I132+CUMPRINC($J132/12,$K132*12,$I132,1,Q$216,0)))</f>
        <v>0</v>
      </c>
      <c r="R244" s="516">
        <f>IF($I132=0,0,IF(R$216&gt;$K132*12,"",$I132+CUMPRINC($J132/12,$K132*12,$I132,1,R$216,0)))</f>
        <v>0</v>
      </c>
      <c r="S244" s="516">
        <f>IF($I132=0,0,IF(S$216&gt;$K132*12,"",$I132+CUMPRINC($J132/12,$K132*12,$I132,1,S$216,0)))</f>
        <v>0</v>
      </c>
      <c r="T244" s="477">
        <f>IF($I132=0,0,IF(T$216&gt;$K132*12,"",$I132+CUMPRINC($J132/12,$K132*12,$I132,1,T$216,0)))</f>
        <v>0</v>
      </c>
      <c r="X244" s="519"/>
      <c r="Y244" s="501"/>
      <c r="AA244" s="476"/>
    </row>
    <row r="245" spans="3:27" hidden="1" outlineLevel="3" x14ac:dyDescent="0.2">
      <c r="C245" s="471" t="str">
        <f t="shared" si="52"/>
        <v>City FEDHOME*</v>
      </c>
      <c r="D245" s="421"/>
      <c r="E245" s="421"/>
      <c r="G245" s="407">
        <f t="shared" si="53"/>
        <v>0</v>
      </c>
      <c r="H245" s="516">
        <f>IF($I133=0,0,IF($K133=0,0,IF($J133=0,$I133-$M133*H$216/12,IF($M133=0,$I133*$J133*H$216/12+$I133,$I133+CUMPRINC($J133/12,$K133*12,$I133,1,H$216,0)))))</f>
        <v>0</v>
      </c>
      <c r="I245" s="516">
        <f t="shared" ref="I245:M249" si="54">IF($I133=0,0,IF(I$216&gt;$K133*12,"",IF($J133=0,H245-$M133,IF($M133=0,H245*(1+$J133),$I133+CUMPRINC($J133/12,$K133*12,$I133,1,I$216,0)))))</f>
        <v>0</v>
      </c>
      <c r="J245" s="516">
        <f t="shared" si="54"/>
        <v>0</v>
      </c>
      <c r="K245" s="516">
        <f t="shared" si="54"/>
        <v>0</v>
      </c>
      <c r="L245" s="516">
        <f t="shared" si="54"/>
        <v>0</v>
      </c>
      <c r="M245" s="516">
        <f t="shared" si="54"/>
        <v>0</v>
      </c>
      <c r="N245" s="516"/>
      <c r="O245" s="516"/>
      <c r="P245" s="516">
        <f>IF($I133=0,0,IF(P$216&gt;$K133*12,"",IF($J133=0,M245-$M133,IF($M133=0,M245*(1+$J133),$I133+CUMPRINC($J133/12,$K133*12,$I133,1,P$216,0)))))</f>
        <v>0</v>
      </c>
      <c r="Q245" s="516">
        <f t="shared" ref="Q245:T249" si="55">IF($I133=0,0,IF(Q$216&gt;$K133*12,"",IF($J133=0,P245-$M133,IF($M133=0,P245*(1+$J133),$I133+CUMPRINC($J133/12,$K133*12,$I133,1,Q$216,0)))))</f>
        <v>0</v>
      </c>
      <c r="R245" s="516">
        <f t="shared" si="55"/>
        <v>0</v>
      </c>
      <c r="S245" s="516">
        <f t="shared" si="55"/>
        <v>0</v>
      </c>
      <c r="T245" s="477">
        <f t="shared" si="55"/>
        <v>0</v>
      </c>
      <c r="V245" s="510"/>
      <c r="X245" s="519"/>
      <c r="Y245" s="501"/>
      <c r="AA245" s="476"/>
    </row>
    <row r="246" spans="3:27" hidden="1" outlineLevel="3" x14ac:dyDescent="0.2">
      <c r="C246" s="471" t="str">
        <f t="shared" si="52"/>
        <v>AHP Capital Advance*</v>
      </c>
      <c r="D246" s="421"/>
      <c r="E246" s="421"/>
      <c r="G246" s="407">
        <f t="shared" si="53"/>
        <v>0</v>
      </c>
      <c r="H246" s="516">
        <f>IF($I134=0,0,IF($K134=0,0,IF($J134=0,$I134-$M134*H$216/12,IF($M134=0,$I134*$J134*H$216/12+$I134,$I134+CUMPRINC($J134/12,$K134*12,$I134,1,H$216,0)))))</f>
        <v>0</v>
      </c>
      <c r="I246" s="516">
        <f t="shared" si="54"/>
        <v>0</v>
      </c>
      <c r="J246" s="516">
        <f t="shared" si="54"/>
        <v>0</v>
      </c>
      <c r="K246" s="516">
        <f t="shared" si="54"/>
        <v>0</v>
      </c>
      <c r="L246" s="516">
        <f t="shared" si="54"/>
        <v>0</v>
      </c>
      <c r="M246" s="516">
        <f t="shared" si="54"/>
        <v>0</v>
      </c>
      <c r="N246" s="516"/>
      <c r="O246" s="516"/>
      <c r="P246" s="516">
        <f>IF($I134=0,0,IF(P$216&gt;$K134*12,"",IF($J134=0,M246-$M134,IF($M134=0,M246*(1+$J134),$I134+CUMPRINC($J134/12,$K134*12,$I134,1,P$216,0)))))</f>
        <v>0</v>
      </c>
      <c r="Q246" s="516">
        <f t="shared" si="55"/>
        <v>0</v>
      </c>
      <c r="R246" s="516">
        <f t="shared" si="55"/>
        <v>0</v>
      </c>
      <c r="S246" s="516">
        <f t="shared" si="55"/>
        <v>0</v>
      </c>
      <c r="T246" s="477">
        <f t="shared" si="55"/>
        <v>0</v>
      </c>
      <c r="V246" s="510"/>
      <c r="X246" s="519"/>
      <c r="Y246" s="501"/>
      <c r="AA246" s="476"/>
    </row>
    <row r="247" spans="3:27" hidden="1" outlineLevel="3" x14ac:dyDescent="0.2">
      <c r="C247" s="471" t="str">
        <f t="shared" si="52"/>
        <v>TIF Loan*</v>
      </c>
      <c r="D247" s="421"/>
      <c r="E247" s="421"/>
      <c r="G247" s="407">
        <f t="shared" si="53"/>
        <v>0</v>
      </c>
      <c r="H247" s="516">
        <f>IF($I135=0,0,IF($K135=0,0,IF($J135=0,$I135-$M135*H$216/12,IF($M135=0,$I135*$J135*H$216/12+$I135,$I135+CUMPRINC($J135/12,$K135*12,$I135,1,H$216,0)))))</f>
        <v>0</v>
      </c>
      <c r="I247" s="516">
        <f t="shared" si="54"/>
        <v>0</v>
      </c>
      <c r="J247" s="516">
        <f t="shared" si="54"/>
        <v>0</v>
      </c>
      <c r="K247" s="516">
        <f t="shared" si="54"/>
        <v>0</v>
      </c>
      <c r="L247" s="516">
        <f t="shared" si="54"/>
        <v>0</v>
      </c>
      <c r="M247" s="516">
        <f t="shared" si="54"/>
        <v>0</v>
      </c>
      <c r="N247" s="516"/>
      <c r="O247" s="516"/>
      <c r="P247" s="516">
        <f>IF($I135=0,0,IF(P$216&gt;$K135*12,"",IF($J135=0,M247-$M135,IF($M135=0,M247*(1+$J135),$I135+CUMPRINC($J135/12,$K135*12,$I135,1,P$216,0)))))</f>
        <v>0</v>
      </c>
      <c r="Q247" s="516">
        <f t="shared" si="55"/>
        <v>0</v>
      </c>
      <c r="R247" s="516">
        <f t="shared" si="55"/>
        <v>0</v>
      </c>
      <c r="S247" s="516">
        <f t="shared" si="55"/>
        <v>0</v>
      </c>
      <c r="T247" s="477">
        <f t="shared" si="55"/>
        <v>0</v>
      </c>
      <c r="X247" s="519"/>
      <c r="Y247" s="501"/>
      <c r="AA247" s="476"/>
    </row>
    <row r="248" spans="3:27" hidden="1" outlineLevel="3" x14ac:dyDescent="0.2">
      <c r="C248" s="471" t="str">
        <f t="shared" si="52"/>
        <v xml:space="preserve"> </v>
      </c>
      <c r="D248" s="421"/>
      <c r="E248" s="421"/>
      <c r="G248" s="407">
        <f t="shared" si="53"/>
        <v>0</v>
      </c>
      <c r="H248" s="516">
        <f>IF($I136=0,0,IF($K136=0,0,IF($J136=0,$I136-$M136*H$216/12,IF($M136=0,$I136*$J136*H$216/12+$I136,$I136+CUMPRINC($J136/12,$K136*12,$I136,1,H$216,0)))))</f>
        <v>0</v>
      </c>
      <c r="I248" s="516">
        <f t="shared" si="54"/>
        <v>0</v>
      </c>
      <c r="J248" s="516">
        <f t="shared" si="54"/>
        <v>0</v>
      </c>
      <c r="K248" s="516">
        <f t="shared" si="54"/>
        <v>0</v>
      </c>
      <c r="L248" s="516">
        <f t="shared" si="54"/>
        <v>0</v>
      </c>
      <c r="M248" s="516">
        <f t="shared" si="54"/>
        <v>0</v>
      </c>
      <c r="N248" s="516"/>
      <c r="O248" s="516"/>
      <c r="P248" s="516">
        <f>IF($I136=0,0,IF(P$216&gt;$K136*12,"",IF($J136=0,M248-$M136,IF($M136=0,M248*(1+$J136),$I136+CUMPRINC($J136/12,$K136*12,$I136,1,P$216,0)))))</f>
        <v>0</v>
      </c>
      <c r="Q248" s="516">
        <f t="shared" si="55"/>
        <v>0</v>
      </c>
      <c r="R248" s="516">
        <f t="shared" si="55"/>
        <v>0</v>
      </c>
      <c r="S248" s="516">
        <f t="shared" si="55"/>
        <v>0</v>
      </c>
      <c r="T248" s="477">
        <f t="shared" si="55"/>
        <v>0</v>
      </c>
      <c r="X248" s="519"/>
      <c r="Y248" s="501"/>
      <c r="AA248" s="476"/>
    </row>
    <row r="249" spans="3:27" hidden="1" outlineLevel="3" x14ac:dyDescent="0.2">
      <c r="C249" s="471" t="str">
        <f t="shared" si="52"/>
        <v xml:space="preserve"> </v>
      </c>
      <c r="D249" s="421"/>
      <c r="E249" s="421"/>
      <c r="G249" s="407">
        <f t="shared" si="53"/>
        <v>0</v>
      </c>
      <c r="H249" s="516">
        <f>IF($I137=0,0,IF($K137=0,0,IF($J137=0,$I137-$M137*H$216/12,IF($M137=0,$I137*$J137*H$216/12+$I137,$I137+CUMPRINC($J137/12,$K137*12,$I137,1,H$216,0)))))</f>
        <v>0</v>
      </c>
      <c r="I249" s="516">
        <f t="shared" si="54"/>
        <v>0</v>
      </c>
      <c r="J249" s="516">
        <f t="shared" si="54"/>
        <v>0</v>
      </c>
      <c r="K249" s="516">
        <f t="shared" si="54"/>
        <v>0</v>
      </c>
      <c r="L249" s="516">
        <f t="shared" si="54"/>
        <v>0</v>
      </c>
      <c r="M249" s="516">
        <f t="shared" si="54"/>
        <v>0</v>
      </c>
      <c r="N249" s="516"/>
      <c r="O249" s="516"/>
      <c r="P249" s="516">
        <f>IF($I137=0,0,IF(P$216&gt;$K137*12,"",IF($J137=0,M249-$M137,IF($M137=0,M249*(1+$J137),$I137+CUMPRINC($J137/12,$K137*12,$I137,1,P$216,0)))))</f>
        <v>0</v>
      </c>
      <c r="Q249" s="516">
        <f t="shared" si="55"/>
        <v>0</v>
      </c>
      <c r="R249" s="516">
        <f t="shared" si="55"/>
        <v>0</v>
      </c>
      <c r="S249" s="516">
        <f t="shared" si="55"/>
        <v>0</v>
      </c>
      <c r="T249" s="477">
        <f t="shared" si="55"/>
        <v>0</v>
      </c>
      <c r="X249" s="519"/>
      <c r="Y249" s="501"/>
      <c r="AA249" s="476"/>
    </row>
    <row r="250" spans="3:27" outlineLevel="2" x14ac:dyDescent="0.2">
      <c r="C250" s="402" t="s">
        <v>258</v>
      </c>
      <c r="G250" s="516">
        <f t="shared" ref="G250:M250" si="56">SUM(G244:G249)</f>
        <v>0</v>
      </c>
      <c r="H250" s="516">
        <f t="shared" si="56"/>
        <v>0</v>
      </c>
      <c r="I250" s="516">
        <f t="shared" si="56"/>
        <v>0</v>
      </c>
      <c r="J250" s="516">
        <f t="shared" si="56"/>
        <v>0</v>
      </c>
      <c r="K250" s="516">
        <f t="shared" si="56"/>
        <v>0</v>
      </c>
      <c r="L250" s="516">
        <f t="shared" si="56"/>
        <v>0</v>
      </c>
      <c r="M250" s="516">
        <f t="shared" si="56"/>
        <v>0</v>
      </c>
      <c r="N250" s="516"/>
      <c r="O250" s="516"/>
      <c r="P250" s="516">
        <f>SUM(P244:P249)</f>
        <v>0</v>
      </c>
      <c r="Q250" s="516">
        <f>SUM(Q244:Q249)</f>
        <v>0</v>
      </c>
      <c r="R250" s="516">
        <f>SUM(R244:R249)</f>
        <v>0</v>
      </c>
      <c r="S250" s="516">
        <f>SUM(S244:S249)</f>
        <v>0</v>
      </c>
      <c r="T250" s="477">
        <f>SUM(T244:T249)</f>
        <v>0</v>
      </c>
      <c r="V250" s="510"/>
      <c r="X250" s="519"/>
      <c r="Y250" s="501"/>
      <c r="AA250" s="476"/>
    </row>
    <row r="251" spans="3:27" ht="11.25" customHeight="1" outlineLevel="2" x14ac:dyDescent="0.2">
      <c r="C251" s="402"/>
      <c r="G251" s="394"/>
      <c r="H251" s="394"/>
      <c r="I251" s="394"/>
      <c r="J251" s="394"/>
      <c r="K251" s="394"/>
      <c r="L251" s="394"/>
      <c r="M251" s="394"/>
      <c r="N251" s="394"/>
      <c r="O251" s="394"/>
      <c r="P251" s="394"/>
      <c r="Q251" s="394"/>
      <c r="R251" s="394"/>
      <c r="S251" s="394"/>
      <c r="T251" s="428"/>
      <c r="X251" s="519"/>
      <c r="Y251" s="501"/>
      <c r="AA251" s="476"/>
    </row>
    <row r="252" spans="3:27" outlineLevel="2" x14ac:dyDescent="0.2">
      <c r="C252" s="409" t="s">
        <v>257</v>
      </c>
      <c r="D252" s="412"/>
      <c r="E252" s="412"/>
      <c r="F252" s="412"/>
      <c r="G252" s="517">
        <f>H57</f>
        <v>0</v>
      </c>
      <c r="H252" s="517">
        <f t="shared" ref="H252:M252" ca="1" si="57">IF(H231&lt;0,G252*1.015+H231,G252*1.015)</f>
        <v>0</v>
      </c>
      <c r="I252" s="517">
        <f t="shared" ca="1" si="57"/>
        <v>0</v>
      </c>
      <c r="J252" s="517">
        <f t="shared" ca="1" si="57"/>
        <v>0</v>
      </c>
      <c r="K252" s="517">
        <f t="shared" ca="1" si="57"/>
        <v>0</v>
      </c>
      <c r="L252" s="517">
        <f t="shared" ca="1" si="57"/>
        <v>0</v>
      </c>
      <c r="M252" s="517">
        <f t="shared" ca="1" si="57"/>
        <v>0</v>
      </c>
      <c r="N252" s="517"/>
      <c r="O252" s="517"/>
      <c r="P252" s="517">
        <f ca="1">IF(P231&lt;0,M252*1.015+P231,M252*1.015)</f>
        <v>0</v>
      </c>
      <c r="Q252" s="517">
        <f ca="1">IF(Q231&lt;0,P252*1.015+Q231,P252*1.015)</f>
        <v>0</v>
      </c>
      <c r="R252" s="517">
        <f ca="1">IF(R231&lt;0,Q252*1.015+R231,Q252*1.015)</f>
        <v>0</v>
      </c>
      <c r="S252" s="517">
        <f ca="1">IF(S231&lt;0,R252*1.015+S231,R252*1.015)</f>
        <v>0</v>
      </c>
      <c r="T252" s="518">
        <f ca="1">IF(T231&lt;0,S252*1.015+T231,S252*1.015)</f>
        <v>0</v>
      </c>
      <c r="X252" s="519"/>
      <c r="Y252" s="501"/>
      <c r="AA252" s="476"/>
    </row>
    <row r="253" spans="3:27" ht="11.25" customHeight="1" outlineLevel="2" x14ac:dyDescent="0.2">
      <c r="G253" s="394"/>
      <c r="H253" s="394"/>
      <c r="I253" s="394"/>
      <c r="J253" s="394"/>
      <c r="K253" s="394"/>
      <c r="L253" s="394"/>
      <c r="M253" s="394"/>
      <c r="N253" s="394"/>
      <c r="O253" s="394"/>
      <c r="P253" s="394"/>
      <c r="Q253" s="394"/>
      <c r="R253" s="394"/>
      <c r="S253" s="394"/>
      <c r="T253" s="394"/>
      <c r="V253" s="510"/>
      <c r="X253" s="519"/>
      <c r="Y253" s="501"/>
      <c r="AA253" s="476"/>
    </row>
    <row r="254" spans="3:27" outlineLevel="2" x14ac:dyDescent="0.2">
      <c r="V254" s="510"/>
      <c r="X254" s="519"/>
      <c r="Y254" s="501"/>
      <c r="AA254" s="476"/>
    </row>
    <row r="255" spans="3:27" outlineLevel="3" x14ac:dyDescent="0.2">
      <c r="C255" s="1151" t="s">
        <v>268</v>
      </c>
      <c r="D255" s="1152"/>
      <c r="E255" s="529"/>
      <c r="F255" s="1152"/>
      <c r="G255" s="1152"/>
      <c r="H255" s="1152"/>
      <c r="I255" s="1152"/>
      <c r="J255" s="1152"/>
      <c r="K255" s="1152"/>
      <c r="L255" s="1152"/>
      <c r="M255" s="1152"/>
      <c r="N255" s="1152"/>
      <c r="O255" s="1152"/>
      <c r="P255" s="1152"/>
      <c r="Q255" s="1152"/>
      <c r="R255" s="1152"/>
      <c r="S255" s="1152"/>
      <c r="T255" s="1154"/>
      <c r="X255" s="519"/>
      <c r="Y255" s="501"/>
      <c r="AA255" s="476"/>
    </row>
    <row r="256" spans="3:27" outlineLevel="3" x14ac:dyDescent="0.2">
      <c r="C256" s="402"/>
      <c r="K256" s="397" t="str">
        <f ca="1">IF(G215=12,"Yr 15","")</f>
        <v/>
      </c>
      <c r="L256" s="397" t="str">
        <f ca="1">IF(K256="Yr 15","","Yr 15")</f>
        <v>Yr 15</v>
      </c>
      <c r="T256" s="438"/>
      <c r="X256" s="519"/>
      <c r="Y256" s="501"/>
      <c r="AA256" s="476"/>
    </row>
    <row r="257" spans="3:27" hidden="1" outlineLevel="3" x14ac:dyDescent="0.2">
      <c r="C257" s="402"/>
      <c r="H257" s="470">
        <f ca="1">T216+12</f>
        <v>138</v>
      </c>
      <c r="I257" s="470">
        <f ca="1">H257+12</f>
        <v>150</v>
      </c>
      <c r="J257" s="470">
        <f ca="1">I257+12</f>
        <v>162</v>
      </c>
      <c r="K257" s="470">
        <f ca="1">J257+12</f>
        <v>174</v>
      </c>
      <c r="L257" s="470">
        <f ca="1">K257+12</f>
        <v>186</v>
      </c>
      <c r="M257" s="470">
        <f ca="1">L257+12</f>
        <v>198</v>
      </c>
      <c r="N257" s="470"/>
      <c r="O257" s="519"/>
      <c r="P257" s="470">
        <f ca="1">M257+12</f>
        <v>210</v>
      </c>
      <c r="Q257" s="470">
        <f ca="1">P257+12</f>
        <v>222</v>
      </c>
      <c r="R257" s="470">
        <f ca="1">Q257+12</f>
        <v>234</v>
      </c>
      <c r="S257" s="470">
        <f ca="1">R257+12</f>
        <v>246</v>
      </c>
      <c r="T257" s="486">
        <f ca="1">S257+12</f>
        <v>258</v>
      </c>
      <c r="X257" s="519"/>
      <c r="Y257" s="501"/>
      <c r="AA257" s="476"/>
    </row>
    <row r="258" spans="3:27" outlineLevel="4" x14ac:dyDescent="0.2">
      <c r="C258" s="409"/>
      <c r="D258" s="412"/>
      <c r="E258" s="412"/>
      <c r="F258" s="412"/>
      <c r="G258" s="412"/>
      <c r="H258" s="958">
        <f ca="1">DATE(YEAR(T217)+1,12,31)</f>
        <v>50770</v>
      </c>
      <c r="I258" s="958">
        <f ca="1">DATE(YEAR(H258)+1,12,31)</f>
        <v>51135</v>
      </c>
      <c r="J258" s="958">
        <f ca="1">DATE(YEAR(I258)+1,12,31)</f>
        <v>51501</v>
      </c>
      <c r="K258" s="958">
        <f ca="1">DATE(YEAR(J258)+1,12,31)</f>
        <v>51866</v>
      </c>
      <c r="L258" s="958">
        <f ca="1">DATE(YEAR(K258)+1,12,31)</f>
        <v>52231</v>
      </c>
      <c r="M258" s="958">
        <f ca="1">DATE(YEAR(L258)+1,12,31)</f>
        <v>52596</v>
      </c>
      <c r="N258" s="958"/>
      <c r="O258" s="958"/>
      <c r="P258" s="958">
        <f ca="1">DATE(YEAR(M258)+1,12,31)</f>
        <v>52962</v>
      </c>
      <c r="Q258" s="958">
        <f ca="1">DATE(YEAR(P258)+1,12,31)</f>
        <v>53327</v>
      </c>
      <c r="R258" s="958">
        <f ca="1">DATE(YEAR(Q258)+1,12,31)</f>
        <v>53692</v>
      </c>
      <c r="S258" s="958">
        <f ca="1">DATE(YEAR(R258)+1,12,31)</f>
        <v>54057</v>
      </c>
      <c r="T258" s="959">
        <f ca="1">DATE(YEAR(S258)+1,12,31)</f>
        <v>54423</v>
      </c>
      <c r="X258" s="519"/>
      <c r="Y258" s="501"/>
      <c r="AA258" s="476"/>
    </row>
    <row r="259" spans="3:27" outlineLevel="4" x14ac:dyDescent="0.2">
      <c r="C259" s="1151" t="s">
        <v>267</v>
      </c>
      <c r="D259" s="1152"/>
      <c r="E259" s="529"/>
      <c r="F259" s="1152"/>
      <c r="G259" s="1183"/>
      <c r="H259" s="1183">
        <f ca="1">T218*(1+$L$6)</f>
        <v>0</v>
      </c>
      <c r="I259" s="1183">
        <f ca="1">H259*(1+$L$6)</f>
        <v>0</v>
      </c>
      <c r="J259" s="1183">
        <f ca="1">I259*(1+$L$6)</f>
        <v>0</v>
      </c>
      <c r="K259" s="1183">
        <f ca="1">J259*(1+$L$6)</f>
        <v>0</v>
      </c>
      <c r="L259" s="1183">
        <f ca="1">K259*(1+$L$6)</f>
        <v>0</v>
      </c>
      <c r="M259" s="1183">
        <f ca="1">L259*(1+$M$6)</f>
        <v>0</v>
      </c>
      <c r="N259" s="1183"/>
      <c r="O259" s="1183"/>
      <c r="P259" s="1183">
        <f ca="1">M259*(1+$M$6)</f>
        <v>0</v>
      </c>
      <c r="Q259" s="1183">
        <f ca="1">P259*(1+$M$6)</f>
        <v>0</v>
      </c>
      <c r="R259" s="1183">
        <f ca="1">Q259*(1+$M$6)</f>
        <v>0</v>
      </c>
      <c r="S259" s="1183">
        <f ca="1">R259*(1+$M$6)</f>
        <v>0</v>
      </c>
      <c r="T259" s="1184">
        <f ca="1">S259*(1+$M$6)</f>
        <v>0</v>
      </c>
      <c r="X259" s="519"/>
      <c r="Y259" s="501"/>
      <c r="AA259" s="476"/>
    </row>
    <row r="260" spans="3:27" outlineLevel="3" x14ac:dyDescent="0.2">
      <c r="C260" s="402" t="s">
        <v>266</v>
      </c>
      <c r="G260" s="516"/>
      <c r="H260" s="516">
        <f ca="1">T219*(1+$L$7)</f>
        <v>0</v>
      </c>
      <c r="I260" s="516">
        <f ca="1">H260*(1+$L$7)</f>
        <v>0</v>
      </c>
      <c r="J260" s="516">
        <f ca="1">I260*(1+$L$7)</f>
        <v>0</v>
      </c>
      <c r="K260" s="516">
        <f ca="1">J260*(1+$L$7)</f>
        <v>0</v>
      </c>
      <c r="L260" s="516">
        <f ca="1">K260*(1+$L$7)</f>
        <v>0</v>
      </c>
      <c r="M260" s="516">
        <f ca="1">L260*(1+$M$7)</f>
        <v>0</v>
      </c>
      <c r="N260" s="516"/>
      <c r="O260" s="516"/>
      <c r="P260" s="516">
        <f ca="1">M260*(1+$M$7)</f>
        <v>0</v>
      </c>
      <c r="Q260" s="516">
        <f ca="1">P260*(1+$M$7)</f>
        <v>0</v>
      </c>
      <c r="R260" s="516">
        <f ca="1">Q260*(1+$M$7)</f>
        <v>0</v>
      </c>
      <c r="S260" s="516">
        <f ca="1">R260*(1+$M$7)</f>
        <v>0</v>
      </c>
      <c r="T260" s="477">
        <f ca="1">S260*(1+$M$7)</f>
        <v>0</v>
      </c>
      <c r="X260" s="519"/>
      <c r="Y260" s="501"/>
      <c r="AA260" s="476"/>
    </row>
    <row r="261" spans="3:27" outlineLevel="3" x14ac:dyDescent="0.2">
      <c r="C261" s="402" t="s">
        <v>265</v>
      </c>
      <c r="G261" s="516"/>
      <c r="H261" s="672">
        <f t="shared" ref="H261:M261" ca="1" si="58">H259-H260</f>
        <v>0</v>
      </c>
      <c r="I261" s="672">
        <f t="shared" ca="1" si="58"/>
        <v>0</v>
      </c>
      <c r="J261" s="672">
        <f t="shared" ca="1" si="58"/>
        <v>0</v>
      </c>
      <c r="K261" s="672">
        <f t="shared" ca="1" si="58"/>
        <v>0</v>
      </c>
      <c r="L261" s="672">
        <f t="shared" ca="1" si="58"/>
        <v>0</v>
      </c>
      <c r="M261" s="672">
        <f t="shared" ca="1" si="58"/>
        <v>0</v>
      </c>
      <c r="N261" s="672"/>
      <c r="O261" s="672"/>
      <c r="P261" s="672">
        <f ca="1">P259-P260</f>
        <v>0</v>
      </c>
      <c r="Q261" s="672">
        <f ca="1">Q259-Q260</f>
        <v>0</v>
      </c>
      <c r="R261" s="672">
        <f ca="1">R259-R260</f>
        <v>0</v>
      </c>
      <c r="S261" s="672">
        <f ca="1">S259-S260</f>
        <v>0</v>
      </c>
      <c r="T261" s="673">
        <f ca="1">T259-T260</f>
        <v>0</v>
      </c>
      <c r="X261" s="519"/>
      <c r="Y261" s="501"/>
      <c r="AA261" s="476"/>
    </row>
    <row r="262" spans="3:27" ht="5.0999999999999996" customHeight="1" outlineLevel="2" x14ac:dyDescent="0.2">
      <c r="C262" s="402"/>
      <c r="G262" s="516"/>
      <c r="H262" s="672"/>
      <c r="I262" s="672"/>
      <c r="J262" s="672"/>
      <c r="K262" s="672"/>
      <c r="L262" s="672"/>
      <c r="M262" s="672"/>
      <c r="N262" s="672"/>
      <c r="O262" s="672"/>
      <c r="P262" s="672"/>
      <c r="Q262" s="672"/>
      <c r="R262" s="672"/>
      <c r="S262" s="672"/>
      <c r="T262" s="673"/>
      <c r="X262" s="519"/>
      <c r="Y262" s="501"/>
      <c r="AA262" s="476"/>
    </row>
    <row r="263" spans="3:27" hidden="1" outlineLevel="2" x14ac:dyDescent="0.2">
      <c r="C263" s="666" t="s">
        <v>719</v>
      </c>
      <c r="D263" s="667"/>
      <c r="E263" s="667"/>
      <c r="F263" s="668"/>
      <c r="G263" s="668"/>
      <c r="H263" s="1182">
        <f>T222*1.03</f>
        <v>0</v>
      </c>
      <c r="I263" s="1182">
        <f t="shared" ref="I263:M264" si="59">H263*1.03</f>
        <v>0</v>
      </c>
      <c r="J263" s="1182">
        <f t="shared" si="59"/>
        <v>0</v>
      </c>
      <c r="K263" s="1182">
        <f t="shared" si="59"/>
        <v>0</v>
      </c>
      <c r="L263" s="1182">
        <f t="shared" si="59"/>
        <v>0</v>
      </c>
      <c r="M263" s="1182">
        <f t="shared" si="59"/>
        <v>0</v>
      </c>
      <c r="N263" s="510"/>
      <c r="O263" s="510"/>
      <c r="P263" s="1182">
        <f>M263*1.03</f>
        <v>0</v>
      </c>
      <c r="Q263" s="1182">
        <f t="shared" ref="Q263:T264" si="60">P263*1.03</f>
        <v>0</v>
      </c>
      <c r="R263" s="1182">
        <f t="shared" si="60"/>
        <v>0</v>
      </c>
      <c r="S263" s="1182">
        <f t="shared" si="60"/>
        <v>0</v>
      </c>
      <c r="T263" s="669">
        <f t="shared" si="60"/>
        <v>0</v>
      </c>
      <c r="X263" s="519"/>
      <c r="Y263" s="501"/>
      <c r="AA263" s="476"/>
    </row>
    <row r="264" spans="3:27" hidden="1" outlineLevel="2" x14ac:dyDescent="0.2">
      <c r="C264" s="666" t="s">
        <v>720</v>
      </c>
      <c r="D264" s="667"/>
      <c r="E264" s="667"/>
      <c r="F264" s="668"/>
      <c r="G264" s="668"/>
      <c r="H264" s="1182">
        <f>T223*1.03</f>
        <v>0</v>
      </c>
      <c r="I264" s="1182">
        <f t="shared" si="59"/>
        <v>0</v>
      </c>
      <c r="J264" s="1182">
        <f t="shared" si="59"/>
        <v>0</v>
      </c>
      <c r="K264" s="1182">
        <f t="shared" si="59"/>
        <v>0</v>
      </c>
      <c r="L264" s="1182">
        <f t="shared" si="59"/>
        <v>0</v>
      </c>
      <c r="M264" s="1182">
        <f t="shared" si="59"/>
        <v>0</v>
      </c>
      <c r="N264" s="510"/>
      <c r="O264" s="510"/>
      <c r="P264" s="1182">
        <f>M264*1.03</f>
        <v>0</v>
      </c>
      <c r="Q264" s="1182">
        <f t="shared" si="60"/>
        <v>0</v>
      </c>
      <c r="R264" s="1182">
        <f t="shared" si="60"/>
        <v>0</v>
      </c>
      <c r="S264" s="1182">
        <f t="shared" si="60"/>
        <v>0</v>
      </c>
      <c r="T264" s="669">
        <f t="shared" si="60"/>
        <v>0</v>
      </c>
      <c r="X264" s="519"/>
      <c r="Y264" s="501"/>
      <c r="AA264" s="476"/>
    </row>
    <row r="265" spans="3:27" ht="11.25" hidden="1" customHeight="1" outlineLevel="2" x14ac:dyDescent="0.2">
      <c r="C265" s="666" t="s">
        <v>721</v>
      </c>
      <c r="D265" s="667"/>
      <c r="E265" s="667"/>
      <c r="F265" s="668"/>
      <c r="G265" s="668"/>
      <c r="H265" s="670">
        <f t="shared" ref="H265:M265" si="61">H263-H264</f>
        <v>0</v>
      </c>
      <c r="I265" s="670">
        <f t="shared" si="61"/>
        <v>0</v>
      </c>
      <c r="J265" s="670">
        <f t="shared" si="61"/>
        <v>0</v>
      </c>
      <c r="K265" s="670">
        <f t="shared" si="61"/>
        <v>0</v>
      </c>
      <c r="L265" s="670">
        <f t="shared" si="61"/>
        <v>0</v>
      </c>
      <c r="M265" s="670">
        <f t="shared" si="61"/>
        <v>0</v>
      </c>
      <c r="N265" s="510"/>
      <c r="O265" s="510"/>
      <c r="P265" s="670">
        <f>P263-P264</f>
        <v>0</v>
      </c>
      <c r="Q265" s="670">
        <f>Q263-Q264</f>
        <v>0</v>
      </c>
      <c r="R265" s="670">
        <f>R263-R264</f>
        <v>0</v>
      </c>
      <c r="S265" s="670">
        <f>S263-S264</f>
        <v>0</v>
      </c>
      <c r="T265" s="671">
        <f>T263-T264</f>
        <v>0</v>
      </c>
      <c r="X265" s="519"/>
      <c r="Y265" s="501"/>
      <c r="AA265" s="476"/>
    </row>
    <row r="266" spans="3:27" ht="5.0999999999999996" customHeight="1" outlineLevel="2" x14ac:dyDescent="0.2">
      <c r="C266" s="402"/>
      <c r="G266" s="516"/>
      <c r="H266" s="672"/>
      <c r="I266" s="672"/>
      <c r="J266" s="672"/>
      <c r="K266" s="672"/>
      <c r="L266" s="672"/>
      <c r="M266" s="672"/>
      <c r="N266" s="672"/>
      <c r="O266" s="672"/>
      <c r="P266" s="672"/>
      <c r="Q266" s="672"/>
      <c r="R266" s="672"/>
      <c r="S266" s="672"/>
      <c r="T266" s="673"/>
      <c r="X266" s="519"/>
      <c r="Y266" s="501"/>
      <c r="AA266" s="476"/>
    </row>
    <row r="267" spans="3:27" ht="11.25" customHeight="1" outlineLevel="2" x14ac:dyDescent="0.2">
      <c r="C267" s="402" t="s">
        <v>722</v>
      </c>
      <c r="H267" s="510">
        <f t="shared" ref="H267:M267" ca="1" si="62">H261+H265</f>
        <v>0</v>
      </c>
      <c r="I267" s="510">
        <f t="shared" ca="1" si="62"/>
        <v>0</v>
      </c>
      <c r="J267" s="510">
        <f t="shared" ca="1" si="62"/>
        <v>0</v>
      </c>
      <c r="K267" s="510">
        <f t="shared" ca="1" si="62"/>
        <v>0</v>
      </c>
      <c r="L267" s="510">
        <f t="shared" ca="1" si="62"/>
        <v>0</v>
      </c>
      <c r="M267" s="510">
        <f t="shared" ca="1" si="62"/>
        <v>0</v>
      </c>
      <c r="N267" s="510"/>
      <c r="O267" s="510"/>
      <c r="P267" s="510">
        <f ca="1">P261+P265</f>
        <v>0</v>
      </c>
      <c r="Q267" s="510">
        <f ca="1">Q261+Q265</f>
        <v>0</v>
      </c>
      <c r="R267" s="510">
        <f ca="1">R261+R265</f>
        <v>0</v>
      </c>
      <c r="S267" s="510">
        <f ca="1">S261+S265</f>
        <v>0</v>
      </c>
      <c r="T267" s="511">
        <f ca="1">T261+T265</f>
        <v>0</v>
      </c>
      <c r="X267" s="519"/>
      <c r="Y267" s="501"/>
      <c r="AA267" s="476"/>
    </row>
    <row r="268" spans="3:27" ht="5.0999999999999996" customHeight="1" outlineLevel="3" x14ac:dyDescent="0.2">
      <c r="C268" s="402"/>
      <c r="G268" s="516"/>
      <c r="H268" s="516"/>
      <c r="I268" s="516"/>
      <c r="J268" s="516"/>
      <c r="K268" s="516"/>
      <c r="L268" s="516"/>
      <c r="M268" s="516"/>
      <c r="N268" s="516"/>
      <c r="O268" s="516"/>
      <c r="P268" s="516"/>
      <c r="Q268" s="516"/>
      <c r="R268" s="516"/>
      <c r="S268" s="516"/>
      <c r="T268" s="477"/>
      <c r="X268" s="519"/>
      <c r="Y268" s="501"/>
      <c r="AA268" s="476"/>
    </row>
    <row r="269" spans="3:27" x14ac:dyDescent="0.2">
      <c r="C269" s="402" t="s">
        <v>264</v>
      </c>
      <c r="G269" s="516"/>
      <c r="H269" s="510">
        <f>SUM($P$126:$P$131)</f>
        <v>0</v>
      </c>
      <c r="I269" s="510">
        <f>SUM($P$126:$P$131)</f>
        <v>0</v>
      </c>
      <c r="J269" s="510">
        <f>SUM($P$126:$P$131)</f>
        <v>0</v>
      </c>
      <c r="K269" s="510">
        <f>SUM($P$126:$P$131)</f>
        <v>0</v>
      </c>
      <c r="L269" s="672">
        <f ca="1">SUM($P$126:$P$131)*(1-G215/12)+SUM($Q$126:$Q$131)*G215/12</f>
        <v>0</v>
      </c>
      <c r="M269" s="516">
        <f>SUM($Q$126:$Q$131)</f>
        <v>0</v>
      </c>
      <c r="N269" s="516"/>
      <c r="O269" s="516"/>
      <c r="P269" s="516">
        <f>SUM($Q$126:$Q$131)</f>
        <v>0</v>
      </c>
      <c r="Q269" s="516">
        <f>SUM($Q$126:$Q$131)</f>
        <v>0</v>
      </c>
      <c r="R269" s="516">
        <f>SUM($Q$126:$Q$131)</f>
        <v>0</v>
      </c>
      <c r="S269" s="516">
        <f>SUM($Q$126:$Q$131)</f>
        <v>0</v>
      </c>
      <c r="T269" s="477">
        <f>SUM($Q$126:$Q$131)</f>
        <v>0</v>
      </c>
      <c r="Y269" s="501"/>
      <c r="AA269" s="476"/>
    </row>
    <row r="270" spans="3:27" ht="11.25" customHeight="1" outlineLevel="2" x14ac:dyDescent="0.2">
      <c r="C270" s="402" t="s">
        <v>263</v>
      </c>
      <c r="G270" s="516"/>
      <c r="H270" s="516">
        <f>SUM($P$132:$P$140)</f>
        <v>0</v>
      </c>
      <c r="I270" s="516">
        <f>SUM($P$132:$P$140)</f>
        <v>0</v>
      </c>
      <c r="J270" s="516">
        <f>SUM($P$132:$P$140)</f>
        <v>0</v>
      </c>
      <c r="K270" s="516">
        <f>SUM($P$132:$P$140)</f>
        <v>0</v>
      </c>
      <c r="L270" s="672">
        <f ca="1">SUM($P$132:$P$140)*(1-G215/12)+SUM($Q$132:$Q$140)*G215/12</f>
        <v>0</v>
      </c>
      <c r="M270" s="516">
        <f>SUM($Q$132:$Q$140)</f>
        <v>0</v>
      </c>
      <c r="N270" s="516"/>
      <c r="O270" s="516"/>
      <c r="P270" s="516">
        <f>SUM($Q$132:$Q$140)</f>
        <v>0</v>
      </c>
      <c r="Q270" s="516">
        <f>SUM($Q$132:$Q$140)</f>
        <v>0</v>
      </c>
      <c r="R270" s="516">
        <f>SUM($Q$132:$Q$140)</f>
        <v>0</v>
      </c>
      <c r="S270" s="516">
        <f>SUM($Q$132:$Q$140)</f>
        <v>0</v>
      </c>
      <c r="T270" s="477">
        <f>SUM($Q$132:$Q$140)</f>
        <v>0</v>
      </c>
      <c r="X270" s="519"/>
      <c r="Y270" s="501"/>
      <c r="AA270" s="476"/>
    </row>
    <row r="271" spans="3:27" ht="5.0999999999999996" customHeight="1" outlineLevel="3" x14ac:dyDescent="0.2">
      <c r="C271" s="402"/>
      <c r="H271" s="510"/>
      <c r="I271" s="510"/>
      <c r="J271" s="510"/>
      <c r="K271" s="510"/>
      <c r="L271" s="510"/>
      <c r="M271" s="510"/>
      <c r="N271" s="510"/>
      <c r="O271" s="510"/>
      <c r="P271" s="510"/>
      <c r="Q271" s="510"/>
      <c r="R271" s="510"/>
      <c r="S271" s="510"/>
      <c r="T271" s="511"/>
      <c r="X271" s="519"/>
      <c r="Y271" s="501"/>
      <c r="AA271" s="476"/>
    </row>
    <row r="272" spans="3:27" ht="11.25" customHeight="1" outlineLevel="2" x14ac:dyDescent="0.2">
      <c r="C272" s="402" t="s">
        <v>262</v>
      </c>
      <c r="G272" s="516"/>
      <c r="H272" s="516">
        <f t="shared" ref="H272:M272" ca="1" si="63">H267-(H269+H270)</f>
        <v>0</v>
      </c>
      <c r="I272" s="516">
        <f t="shared" ca="1" si="63"/>
        <v>0</v>
      </c>
      <c r="J272" s="516">
        <f t="shared" ca="1" si="63"/>
        <v>0</v>
      </c>
      <c r="K272" s="516">
        <f t="shared" ca="1" si="63"/>
        <v>0</v>
      </c>
      <c r="L272" s="516">
        <f t="shared" ca="1" si="63"/>
        <v>0</v>
      </c>
      <c r="M272" s="516">
        <f t="shared" ca="1" si="63"/>
        <v>0</v>
      </c>
      <c r="N272" s="516"/>
      <c r="O272" s="516"/>
      <c r="P272" s="516">
        <f ca="1">P267-(P269+P270)</f>
        <v>0</v>
      </c>
      <c r="Q272" s="516">
        <f ca="1">Q267-(Q269+Q270)</f>
        <v>0</v>
      </c>
      <c r="R272" s="516">
        <f ca="1">R267-(R269+R270)</f>
        <v>0</v>
      </c>
      <c r="S272" s="516">
        <f ca="1">S267-(S269+S270)</f>
        <v>0</v>
      </c>
      <c r="T272" s="477">
        <f ca="1">T267-(T269+T270)</f>
        <v>0</v>
      </c>
      <c r="X272" s="519"/>
      <c r="Y272" s="501"/>
      <c r="AA272" s="476"/>
    </row>
    <row r="273" spans="3:51" ht="11.25" customHeight="1" outlineLevel="2" x14ac:dyDescent="0.2">
      <c r="C273" s="402" t="s">
        <v>261</v>
      </c>
      <c r="G273" s="516"/>
      <c r="H273" s="516">
        <f t="shared" ref="H273:M273" si="64">IF($G$5=0,0,H272/$G$5)</f>
        <v>0</v>
      </c>
      <c r="I273" s="672">
        <f t="shared" si="64"/>
        <v>0</v>
      </c>
      <c r="J273" s="672">
        <f t="shared" si="64"/>
        <v>0</v>
      </c>
      <c r="K273" s="672">
        <f t="shared" si="64"/>
        <v>0</v>
      </c>
      <c r="L273" s="672">
        <f t="shared" si="64"/>
        <v>0</v>
      </c>
      <c r="M273" s="672">
        <f t="shared" si="64"/>
        <v>0</v>
      </c>
      <c r="N273" s="672"/>
      <c r="O273" s="672"/>
      <c r="P273" s="672">
        <f>IF($G$5=0,0,P272/$G$5)</f>
        <v>0</v>
      </c>
      <c r="Q273" s="672">
        <f>IF($G$5=0,0,Q272/$G$5)</f>
        <v>0</v>
      </c>
      <c r="R273" s="672">
        <f>IF($G$5=0,0,R272/$G$5)</f>
        <v>0</v>
      </c>
      <c r="S273" s="672">
        <f>IF($G$5=0,0,S272/$G$5)</f>
        <v>0</v>
      </c>
      <c r="T273" s="673">
        <f>IF($G$5=0,0,T272/$G$5)</f>
        <v>0</v>
      </c>
      <c r="X273" s="519"/>
      <c r="Y273" s="501"/>
      <c r="AA273" s="476"/>
    </row>
    <row r="274" spans="3:51" outlineLevel="3" x14ac:dyDescent="0.2">
      <c r="C274" s="402"/>
      <c r="G274" s="516"/>
      <c r="H274" s="516"/>
      <c r="I274" s="516"/>
      <c r="J274" s="516"/>
      <c r="K274" s="516"/>
      <c r="L274" s="516"/>
      <c r="M274" s="516"/>
      <c r="N274" s="516"/>
      <c r="O274" s="516"/>
      <c r="P274" s="516"/>
      <c r="Q274" s="516"/>
      <c r="R274" s="516"/>
      <c r="S274" s="516"/>
      <c r="T274" s="477"/>
      <c r="X274" s="519"/>
      <c r="Y274" s="501"/>
      <c r="AA274" s="476"/>
    </row>
    <row r="275" spans="3:51" outlineLevel="2" x14ac:dyDescent="0.2">
      <c r="C275" s="402" t="s">
        <v>260</v>
      </c>
      <c r="G275" s="516"/>
      <c r="H275" s="514">
        <f t="shared" ref="H275:M275" si="65">IF((H269+H270)=0,0,H267/(H269+H270))</f>
        <v>0</v>
      </c>
      <c r="I275" s="514">
        <f t="shared" si="65"/>
        <v>0</v>
      </c>
      <c r="J275" s="514">
        <f t="shared" si="65"/>
        <v>0</v>
      </c>
      <c r="K275" s="514">
        <f t="shared" si="65"/>
        <v>0</v>
      </c>
      <c r="L275" s="514">
        <f t="shared" ca="1" si="65"/>
        <v>0</v>
      </c>
      <c r="M275" s="514">
        <f t="shared" si="65"/>
        <v>0</v>
      </c>
      <c r="N275" s="514"/>
      <c r="O275" s="514"/>
      <c r="P275" s="514">
        <f>IF((P269+P270)=0,0,P267/(P269+P270))</f>
        <v>0</v>
      </c>
      <c r="Q275" s="514">
        <f>IF((Q269+Q270)=0,0,Q267/(Q269+Q270))</f>
        <v>0</v>
      </c>
      <c r="R275" s="514">
        <f>IF((R269+R270)=0,0,R267/(R269+R270))</f>
        <v>0</v>
      </c>
      <c r="S275" s="514">
        <f>IF((S269+S270)=0,0,S267/(S269+S270))</f>
        <v>0</v>
      </c>
      <c r="T275" s="515">
        <f>IF((T269+T270)=0,0,T267/(T269+T270))</f>
        <v>0</v>
      </c>
      <c r="X275" s="519"/>
      <c r="Y275" s="501"/>
      <c r="AA275" s="476"/>
    </row>
    <row r="276" spans="3:51" outlineLevel="2" x14ac:dyDescent="0.2">
      <c r="C276" s="402"/>
      <c r="G276" s="516"/>
      <c r="H276" s="516"/>
      <c r="I276" s="516"/>
      <c r="J276" s="516"/>
      <c r="K276" s="516"/>
      <c r="L276" s="516"/>
      <c r="M276" s="516"/>
      <c r="N276" s="516"/>
      <c r="O276" s="516"/>
      <c r="P276" s="516"/>
      <c r="Q276" s="516"/>
      <c r="R276" s="516"/>
      <c r="S276" s="516"/>
      <c r="T276" s="477"/>
      <c r="X276" s="519"/>
      <c r="Y276" s="501"/>
      <c r="AA276" s="476"/>
    </row>
    <row r="277" spans="3:51" hidden="1" outlineLevel="2" x14ac:dyDescent="0.2">
      <c r="C277" s="471" t="str">
        <f t="shared" ref="C277:C282" si="66">C236</f>
        <v>0% Deferred Loan     -     FedHOME</v>
      </c>
      <c r="D277" s="421"/>
      <c r="E277" s="421"/>
      <c r="G277" s="516">
        <f t="shared" ref="G277:G282" ca="1" si="67">T236</f>
        <v>0</v>
      </c>
      <c r="H277" s="516">
        <f t="shared" ref="H277:M277" ca="1" si="68">G277*(1+$J$126)</f>
        <v>0</v>
      </c>
      <c r="I277" s="516">
        <f t="shared" ca="1" si="68"/>
        <v>0</v>
      </c>
      <c r="J277" s="516">
        <f t="shared" ca="1" si="68"/>
        <v>0</v>
      </c>
      <c r="K277" s="516">
        <f t="shared" ca="1" si="68"/>
        <v>0</v>
      </c>
      <c r="L277" s="516">
        <f t="shared" ca="1" si="68"/>
        <v>0</v>
      </c>
      <c r="M277" s="516">
        <f t="shared" ca="1" si="68"/>
        <v>0</v>
      </c>
      <c r="N277" s="516"/>
      <c r="O277" s="516"/>
      <c r="P277" s="516">
        <f ca="1">M277*(1+$J$126)</f>
        <v>0</v>
      </c>
      <c r="Q277" s="516">
        <f t="shared" ref="Q277:T277" ca="1" si="69">P277*(1+$J$126)</f>
        <v>0</v>
      </c>
      <c r="R277" s="516">
        <f t="shared" ca="1" si="69"/>
        <v>0</v>
      </c>
      <c r="S277" s="516">
        <f t="shared" ca="1" si="69"/>
        <v>0</v>
      </c>
      <c r="T277" s="477">
        <f t="shared" ca="1" si="69"/>
        <v>0</v>
      </c>
      <c r="X277" s="519"/>
      <c r="Y277" s="501"/>
      <c r="AA277" s="476"/>
    </row>
    <row r="278" spans="3:51" hidden="1" outlineLevel="2" x14ac:dyDescent="0.2">
      <c r="C278" s="471" t="str">
        <f t="shared" si="66"/>
        <v>0% Deferred Loan 2</v>
      </c>
      <c r="D278" s="421"/>
      <c r="E278" s="421"/>
      <c r="G278" s="516">
        <f t="shared" ca="1" si="67"/>
        <v>0</v>
      </c>
      <c r="H278" s="516">
        <f ca="1">G278*(1+$J$127)</f>
        <v>0</v>
      </c>
      <c r="I278" s="516">
        <f t="shared" ref="I278:T278" ca="1" si="70">H278*(1+$J$127)</f>
        <v>0</v>
      </c>
      <c r="J278" s="516">
        <f t="shared" ca="1" si="70"/>
        <v>0</v>
      </c>
      <c r="K278" s="516">
        <f t="shared" ca="1" si="70"/>
        <v>0</v>
      </c>
      <c r="L278" s="516">
        <f t="shared" ca="1" si="70"/>
        <v>0</v>
      </c>
      <c r="M278" s="516">
        <f t="shared" ca="1" si="70"/>
        <v>0</v>
      </c>
      <c r="N278" s="516">
        <f t="shared" ca="1" si="70"/>
        <v>0</v>
      </c>
      <c r="O278" s="516">
        <f t="shared" ca="1" si="70"/>
        <v>0</v>
      </c>
      <c r="P278" s="516">
        <f t="shared" ca="1" si="70"/>
        <v>0</v>
      </c>
      <c r="Q278" s="516">
        <f t="shared" ca="1" si="70"/>
        <v>0</v>
      </c>
      <c r="R278" s="516">
        <f t="shared" ca="1" si="70"/>
        <v>0</v>
      </c>
      <c r="S278" s="516">
        <f t="shared" ca="1" si="70"/>
        <v>0</v>
      </c>
      <c r="T278" s="477">
        <f t="shared" ca="1" si="70"/>
        <v>0</v>
      </c>
      <c r="X278" s="519"/>
      <c r="Y278" s="501"/>
      <c r="AA278" s="476"/>
    </row>
    <row r="279" spans="3:51" hidden="1" outlineLevel="2" x14ac:dyDescent="0.2">
      <c r="C279" s="471" t="str">
        <f t="shared" si="66"/>
        <v>0% Deferred Loan 3</v>
      </c>
      <c r="D279" s="421"/>
      <c r="E279" s="421"/>
      <c r="G279" s="516">
        <f t="shared" ca="1" si="67"/>
        <v>0</v>
      </c>
      <c r="H279" s="516">
        <f t="shared" ref="H279:M279" ca="1" si="71">G279*(1+$J$128)</f>
        <v>0</v>
      </c>
      <c r="I279" s="516">
        <f t="shared" ca="1" si="71"/>
        <v>0</v>
      </c>
      <c r="J279" s="516">
        <f t="shared" ca="1" si="71"/>
        <v>0</v>
      </c>
      <c r="K279" s="516">
        <f t="shared" ca="1" si="71"/>
        <v>0</v>
      </c>
      <c r="L279" s="516">
        <f t="shared" ca="1" si="71"/>
        <v>0</v>
      </c>
      <c r="M279" s="516">
        <f t="shared" ca="1" si="71"/>
        <v>0</v>
      </c>
      <c r="N279" s="516"/>
      <c r="O279" s="516"/>
      <c r="P279" s="516">
        <f ca="1">M279*(1+$J$128)</f>
        <v>0</v>
      </c>
      <c r="Q279" s="516">
        <f ca="1">P279*(1+$J$128)</f>
        <v>0</v>
      </c>
      <c r="R279" s="516">
        <f ca="1">Q279*(1+$J$128)</f>
        <v>0</v>
      </c>
      <c r="S279" s="516">
        <f ca="1">R279*(1+$J$128)</f>
        <v>0</v>
      </c>
      <c r="T279" s="477">
        <f ca="1">S279*(1+$J$128)</f>
        <v>0</v>
      </c>
      <c r="X279" s="519"/>
      <c r="Y279" s="501"/>
      <c r="AA279" s="476"/>
      <c r="AG279" s="476"/>
      <c r="AH279" s="476"/>
      <c r="AI279" s="476"/>
      <c r="AJ279" s="476"/>
      <c r="AK279" s="476"/>
      <c r="AL279" s="476"/>
      <c r="AM279" s="476"/>
      <c r="AN279" s="476"/>
      <c r="AO279" s="476"/>
      <c r="AP279" s="476"/>
      <c r="AQ279" s="476"/>
      <c r="AR279" s="476"/>
      <c r="AS279" s="476"/>
      <c r="AT279" s="476"/>
      <c r="AU279" s="476"/>
      <c r="AV279" s="476"/>
      <c r="AW279" s="476"/>
      <c r="AX279" s="476"/>
      <c r="AY279" s="476"/>
    </row>
    <row r="280" spans="3:51" hidden="1" outlineLevel="2" x14ac:dyDescent="0.2">
      <c r="C280" s="471" t="str">
        <f t="shared" si="66"/>
        <v xml:space="preserve">MH Interest Bearing Loan </v>
      </c>
      <c r="D280" s="421"/>
      <c r="E280" s="421"/>
      <c r="G280" s="516">
        <f t="shared" si="67"/>
        <v>0</v>
      </c>
      <c r="H280" s="516">
        <f>IF($I$129=0,0,IF($K$129=0,0,IF(Sources!$G$39="Interest Only for 30 years",G280,IF(OR(Sources!$G$39="Interest Only for 15 yrs., then 40 year Am with Balloon",Sources!$G$39="Interest Only for 15 yrs., then 30 year Am with Balloon"),IF(H$257&lt;=180,G280,$I$129+CUMPRINC($J$129/12,$K$129*12,$I$129,1,H$257-180,0)),$I$129+CUMPRINC($J$129/12,$K$129*12,$I$129,1,H$257,0)))))</f>
        <v>0</v>
      </c>
      <c r="I280" s="516">
        <f>IF($I$129=0,0,IF($K$129=0,0,IF(Sources!$G$39="Interest Only for 30 years",H280,IF(OR(Sources!$G$39="Interest Only for 15 yrs., then 40 year Am with Balloon",Sources!$G$39="Interest Only for 15 yrs., then 30 year Am with Balloon"),IF(I$257&lt;=180,H280,$I$129+CUMPRINC($J$129/12,$K$129*12,$I$129,1,I$257-180,0)),$I$129+CUMPRINC($J$129/12,$K$129*12,$I$129,1,I$257,0)))))</f>
        <v>0</v>
      </c>
      <c r="J280" s="516">
        <f>IF($I$129=0,0,IF($K$129=0,0,IF(Sources!$G$39="Interest Only for 30 years",I280,IF(OR(Sources!$G$39="Interest Only for 15 yrs., then 40 year Am with Balloon",Sources!$G$39="Interest Only for 15 yrs., then 30 year Am with Balloon"),IF(J$257&lt;=180,I280,$I$129+CUMPRINC($J$129/12,$K$129*12,$I$129,1,J$257-180,0)),$I$129+CUMPRINC($J$129/12,$K$129*12,$I$129,1,J$257,0)))))</f>
        <v>0</v>
      </c>
      <c r="K280" s="516">
        <f>IF($I$129=0,0,IF($K$129=0,0,IF(Sources!$G$39="Interest Only for 30 years",J280,IF(OR(Sources!$G$39="Interest Only for 15 yrs., then 40 year Am with Balloon",Sources!$G$39="Interest Only for 15 yrs., then 30 year Am with Balloon"),IF(K$257&lt;=180,J280,$I$129+CUMPRINC($J$129/12,$K$129*12,$I$129,1,K$257-180,0)),$I$129+CUMPRINC($J$129/12,$K$129*12,$I$129,1,K$257,0)))))</f>
        <v>0</v>
      </c>
      <c r="L280" s="516">
        <f>IF($I$129=0,0,IF($K$129=0,0,IF(Sources!$G$39="Interest Only for 30 years",K280,IF(OR(Sources!$G$39="Interest Only for 15 yrs., then 40 year Am with Balloon",Sources!$G$39="Interest Only for 15 yrs., then 30 year Am with Balloon"),IF(L$257&lt;=180,K280,$I$129+CUMPRINC($J$129/12,$K$129*12,$I$129,1,L$257-180,0)),$I$129+CUMPRINC($J$129/12,$K$129*12,$I$129,1,L$257,0)))))</f>
        <v>0</v>
      </c>
      <c r="M280" s="516">
        <f>IF($I$129=0,0,IF($K$129=0,0,IF(Sources!$G$39="Interest Only for 30 years",L280,IF(OR(Sources!$G$39="Interest Only for 15 yrs., then 40 year Am with Balloon",Sources!$G$39="Interest Only for 15 yrs., then 30 year Am with Balloon"),IF(M$257&lt;=180,L280,$I$129+CUMPRINC($J$129/12,$K$129*12,$I$129,1,M$257-180,0)),$I$129+CUMPRINC($J$129/12,$K$129*12,$I$129,1,M$257,0)))))</f>
        <v>0</v>
      </c>
      <c r="N280" s="516"/>
      <c r="O280" s="516"/>
      <c r="P280" s="516">
        <f>IF($I$129=0,0,IF($K$129=0,0,IF(Sources!$G$39="Interest Only for 30 years",M280,IF(OR(Sources!$G$39="Interest Only for 15 yrs., then 40 year Am with Balloon",Sources!$G$39="Interest Only for 15 yrs., then 30 year Am with Balloon"),IF(P$257&lt;=180,M280,$I$129+CUMPRINC($J$129/12,$K$129*12,$I$129,1,P$257-180,0)),$I$129+CUMPRINC($J$129/12,$K$129*12,$I$129,1,P$257,0)))))</f>
        <v>0</v>
      </c>
      <c r="Q280" s="516">
        <f>IF($I$129=0,0,IF($K$129=0,0,IF(Sources!$G$39="Interest Only for 30 years",P280,IF(OR(Sources!$G$39="Interest Only for 15 yrs., then 40 year Am with Balloon",Sources!$G$39="Interest Only for 15 yrs., then 30 year Am with Balloon"),IF(Q$257&lt;=180,P280,$I$129+CUMPRINC($J$129/12,$K$129*12,$I$129,1,Q$257-180,0)),$I$129+CUMPRINC($J$129/12,$K$129*12,$I$129,1,Q$257,0)))))</f>
        <v>0</v>
      </c>
      <c r="R280" s="516">
        <f>IF($I$129=0,0,IF($K$129=0,0,IF(Sources!$G$39="Interest Only for 30 years",Q280,IF(OR(Sources!$G$39="Interest Only for 15 yrs., then 40 year Am with Balloon",Sources!$G$39="Interest Only for 15 yrs., then 30 year Am with Balloon"),IF(R$257&lt;=180,Q280,$I$129+CUMPRINC($J$129/12,$K$129*12,$I$129,1,R$257-180,0)),$I$129+CUMPRINC($J$129/12,$K$129*12,$I$129,1,R$257,0)))))</f>
        <v>0</v>
      </c>
      <c r="S280" s="516">
        <f>IF($I$129=0,0,IF($K$129=0,0,IF(Sources!$G$39="Interest Only for 30 years",R280,IF(OR(Sources!$G$39="Interest Only for 15 yrs., then 40 year Am with Balloon",Sources!$G$39="Interest Only for 15 yrs., then 30 year Am with Balloon"),IF(S$257&lt;=180,R280,$I$129+CUMPRINC($J$129/12,$K$129*12,$I$129,1,S$257-180,0)),$I$129+CUMPRINC($J$129/12,$K$129*12,$I$129,1,S$257,0)))))</f>
        <v>0</v>
      </c>
      <c r="T280" s="477">
        <f>IF($I$129=0,0,IF($K$129=0,0,IF(Sources!$G$39="Interest Only for 30 years",S280,IF(OR(Sources!$G$39="Interest Only for 15 yrs., then 40 year Am with Balloon",Sources!$G$39="Interest Only for 15 yrs., then 30 year Am with Balloon"),IF(T$257&lt;=180,S280,$I$129+CUMPRINC($J$129/12,$K$129*12,$I$129,1,T$257-180,0)),$I$129+CUMPRINC($J$129/12,$K$129*12,$I$129,1,T$257,0)))))</f>
        <v>0</v>
      </c>
      <c r="X280" s="519"/>
      <c r="Y280" s="501"/>
      <c r="AA280" s="476"/>
      <c r="AG280" s="476"/>
      <c r="AH280" s="476"/>
      <c r="AI280" s="476"/>
      <c r="AJ280" s="476"/>
      <c r="AK280" s="476"/>
      <c r="AL280" s="476"/>
      <c r="AM280" s="476"/>
      <c r="AN280" s="476"/>
      <c r="AO280" s="476"/>
      <c r="AP280" s="476"/>
      <c r="AQ280" s="476"/>
      <c r="AR280" s="476"/>
      <c r="AS280" s="476"/>
      <c r="AT280" s="476"/>
      <c r="AU280" s="476"/>
      <c r="AV280" s="476"/>
      <c r="AW280" s="476"/>
      <c r="AX280" s="476"/>
      <c r="AY280" s="476"/>
    </row>
    <row r="281" spans="3:51" hidden="1" outlineLevel="2" x14ac:dyDescent="0.2">
      <c r="C281" s="471" t="str">
        <f t="shared" si="66"/>
        <v>MH Interest Bearing Loan #2</v>
      </c>
      <c r="D281" s="421"/>
      <c r="E281" s="421"/>
      <c r="G281" s="516">
        <f t="shared" si="67"/>
        <v>0</v>
      </c>
      <c r="H281" s="516">
        <f>IF($I$130=0,0,IF($K$130=0,0,IF(Sources!$G$40="Interest Only for 30 years",G281,IF(OR(Sources!$G$40="Interest Only for 15 yrs., then 40 year Am with Balloon",Sources!$G$40="Interest Only for 15 yrs., then 30 year Am with Balloon"),IF(H$257&lt;=180,G281,$I$130+CUMPRINC($J$130/12,$K$130*12,$I$130,1,H$257-180,0)),$I$130+CUMPRINC($J$130/12,$K$130*12,$I$130,1,H$257,0)))))</f>
        <v>0</v>
      </c>
      <c r="I281" s="516">
        <f>IF($I$130=0,0,IF($K$130=0,0,IF(Sources!$G$40="Interest Only for 30 years",H281,IF(OR(Sources!$G$40="Interest Only for 15 yrs., then 40 year Am with Balloon",Sources!$G$40="Interest Only for 15 yrs., then 30 year Am with Balloon"),IF(I$257&lt;=180,H281,$I$130+CUMPRINC($J$130/12,$K$130*12,$I$130,1,I$257-180,0)),$I$130+CUMPRINC($J$130/12,$K$130*12,$I$130,1,I$257,0)))))</f>
        <v>0</v>
      </c>
      <c r="J281" s="516">
        <f>IF($I$130=0,0,IF($K$130=0,0,IF(Sources!$G$40="Interest Only for 30 years",I281,IF(OR(Sources!$G$40="Interest Only for 15 yrs., then 40 year Am with Balloon",Sources!$G$40="Interest Only for 15 yrs., then 30 year Am with Balloon"),IF(J$257&lt;=180,I281,$I$130+CUMPRINC($J$130/12,$K$130*12,$I$130,1,J$257-180,0)),$I$130+CUMPRINC($J$130/12,$K$130*12,$I$130,1,J$257,0)))))</f>
        <v>0</v>
      </c>
      <c r="K281" s="516">
        <f>IF($I$130=0,0,IF($K$130=0,0,IF(Sources!$G$40="Interest Only for 30 years",J281,IF(OR(Sources!$G$40="Interest Only for 15 yrs., then 40 year Am with Balloon",Sources!$G$40="Interest Only for 15 yrs., then 30 year Am with Balloon"),IF(K$257&lt;=180,J281,$I$130+CUMPRINC($J$130/12,$K$130*12,$I$130,1,K$257-180,0)),$I$130+CUMPRINC($J$130/12,$K$130*12,$I$130,1,K$257,0)))))</f>
        <v>0</v>
      </c>
      <c r="L281" s="516">
        <f>IF($I$130=0,0,IF($K$130=0,0,IF(Sources!$G$40="Interest Only for 30 years",K281,IF(OR(Sources!$G$40="Interest Only for 15 yrs., then 40 year Am with Balloon",Sources!$G$40="Interest Only for 15 yrs., then 30 year Am with Balloon"),IF(L$257&lt;=180,K281,$I$130+CUMPRINC($J$130/12,$K$130*12,$I$130,1,L$257-180,0)),$I$130+CUMPRINC($J$130/12,$K$130*12,$I$130,1,L$257,0)))))</f>
        <v>0</v>
      </c>
      <c r="M281" s="516">
        <f>IF($I$130=0,0,IF($K$130=0,0,IF(M$257&gt;$K$130*12,0,IF(Sources!$G$40="Interest Only for 30 years",L281,IF(OR(Sources!$G$40="Interest Only for 15 yrs., then 40 year Am with Balloon",Sources!$G$40="Interest Only for 15 yrs., then 30 year Am with Balloon"),IF(M$257&lt;=180,L281,$I$130+CUMPRINC($J$130/12,$K$130*12,$I$130,1,M$257-180,0)),$I$130+CUMPRINC($J$130/12,$K$130*12,$I$130,1,M$257,0))))))</f>
        <v>0</v>
      </c>
      <c r="N281" s="516"/>
      <c r="O281" s="516"/>
      <c r="P281" s="516">
        <f>IF($I$130=0,0,IF($K$130=0,0,IF(P$257&gt;$K$130*12,0,IF(Sources!$G$40="Interest Only for 30 years",M281,IF(OR(Sources!$G$40="Interest Only for 15 yrs., then 40 year Am with Balloon",Sources!$G$40="Interest Only for 15 yrs., then 30 year Am with Balloon"),IF(P$257&lt;=180,M281,$I$130+CUMPRINC($J$130/12,$K$130*12,$I$130,1,P$257-180,0)),$I$130+CUMPRINC($J$130/12,$K$130*12,$I$130,1,P$257,0))))))</f>
        <v>0</v>
      </c>
      <c r="Q281" s="516">
        <f>IF($I$130=0,0,IF($K$130=0,0,IF(Q$257&gt;$K$130*12,0,IF(Sources!$G$40="Interest Only for 30 years",P281,IF(OR(Sources!$G$40="Interest Only for 15 yrs., then 40 year Am with Balloon",Sources!$G$40="Interest Only for 15 yrs., then 30 year Am with Balloon"),IF(Q$257&lt;=180,P281,$I$130+CUMPRINC($J$130/12,$K$130*12,$I$130,1,Q$257-180,0)),$I$130+CUMPRINC($J$130/12,$K$130*12,$I$130,1,Q$257,0))))))</f>
        <v>0</v>
      </c>
      <c r="R281" s="516">
        <f>IF($I$130=0,0,IF($K$130=0,0,IF(R$257&gt;$K$130*12,0,IF(Sources!$G$40="Interest Only for 30 years",Q281,IF(OR(Sources!$G$40="Interest Only for 15 yrs., then 40 year Am with Balloon",Sources!$G$40="Interest Only for 15 yrs., then 30 year Am with Balloon"),IF(R$257&lt;=180,Q281,$I$130+CUMPRINC($J$130/12,$K$130*12,$I$130,1,R$257-180,0)),$I$130+CUMPRINC($J$130/12,$K$130*12,$I$130,1,R$257,0))))))</f>
        <v>0</v>
      </c>
      <c r="S281" s="516">
        <f>IF($I$130=0,0,IF($K$130=0,0,IF(S$257&gt;$K$130*12,0,IF(Sources!$G$40="Interest Only for 30 years",R281,IF(OR(Sources!$G$40="Interest Only for 15 yrs., then 40 year Am with Balloon",Sources!$G$40="Interest Only for 15 yrs., then 30 year Am with Balloon"),IF(S$257&lt;=180,R281,$I$130+CUMPRINC($J$130/12,$K$130*12,$I$130,1,S$257-180,0)),$I$130+CUMPRINC($J$130/12,$K$130*12,$I$130,1,S$257,0))))))</f>
        <v>0</v>
      </c>
      <c r="T281" s="477">
        <f>IF($I$130=0,0,IF($K$130=0,0,IF(T$257&gt;$K$130*12,0,IF(Sources!$G$40="Interest Only for 30 years",S281,IF(OR(Sources!$G$40="Interest Only for 15 yrs., then 40 year Am with Balloon",Sources!$G$40="Interest Only for 15 yrs., then 30 year Am with Balloon"),IF(T$257&lt;=180,S281,$I$130+CUMPRINC($J$130/12,$K$130*12,$I$130,1,T$257-180,0)),$I$130+CUMPRINC($J$130/12,$K$130*12,$I$130,1,T$257,0))))))</f>
        <v>0</v>
      </c>
      <c r="X281" s="519"/>
      <c r="Y281" s="501"/>
      <c r="AA281" s="476"/>
      <c r="AG281" s="476"/>
      <c r="AH281" s="476"/>
      <c r="AI281" s="476"/>
      <c r="AJ281" s="476"/>
      <c r="AK281" s="476"/>
      <c r="AL281" s="476"/>
      <c r="AM281" s="476"/>
      <c r="AN281" s="476"/>
      <c r="AO281" s="476"/>
      <c r="AP281" s="476"/>
      <c r="AQ281" s="476"/>
      <c r="AR281" s="476"/>
      <c r="AS281" s="476"/>
      <c r="AT281" s="476"/>
      <c r="AU281" s="476"/>
      <c r="AV281" s="476"/>
      <c r="AW281" s="476"/>
      <c r="AX281" s="476"/>
      <c r="AY281" s="476"/>
    </row>
    <row r="282" spans="3:51" hidden="1" outlineLevel="2" x14ac:dyDescent="0.2">
      <c r="C282" s="471" t="str">
        <f t="shared" si="66"/>
        <v>MH Interest Bearing Loan #3</v>
      </c>
      <c r="D282" s="421"/>
      <c r="E282" s="421"/>
      <c r="G282" s="516">
        <f t="shared" si="67"/>
        <v>0</v>
      </c>
      <c r="H282" s="516">
        <f>IF($G$282=0,0,IF($K$131=0,0,IF(H$257&gt;$K$131*12,0,IF(Sources!$G$41="Interest Only for 30 years",G282,IF(OR(Sources!$G$41="Interest Only for 15 yrs., then 40 year Am with Balloon",Sources!$G$41="Interest Only for 15 yrs., then 30 year Am with Balloon"),IF(H$257&lt;=180,G282,$I$131+CUMPRINC($J$131/12,$K$131*12,$I$131,1,H$257-180,0)),$I$131+CUMPRINC($J$131/12,$K$131*12,$I$131,1,H$257,0))))))</f>
        <v>0</v>
      </c>
      <c r="I282" s="516">
        <f>IF($G$282=0,0,IF($K$131=0,0,IF(I$257&gt;$K$131*12,0,IF(Sources!$G$41="Interest Only for 30 years",H282,IF(OR(Sources!$G$41="Interest Only for 15 yrs., then 40 year Am with Balloon",Sources!$G$41="Interest Only for 15 yrs., then 30 year Am with Balloon"),IF(I$257&lt;=180,H282,$I$131+CUMPRINC($J$131/12,$K$131*12,$I$131,1,I$257-180,0)),$I$131+CUMPRINC($J$131/12,$K$131*12,$I$131,1,I$257,0))))))</f>
        <v>0</v>
      </c>
      <c r="J282" s="516">
        <f>IF($G$282=0,0,IF($K$131=0,0,IF(J$257&gt;$K$131*12,0,IF(Sources!$G$41="Interest Only for 30 years",I282,IF(OR(Sources!$G$41="Interest Only for 15 yrs., then 40 year Am with Balloon",Sources!$G$41="Interest Only for 15 yrs., then 30 year Am with Balloon"),IF(J$257&lt;=180,I282,$I$131+CUMPRINC($J$131/12,$K$131*12,$I$131,1,J$257-180,0)),$I$131+CUMPRINC($J$131/12,$K$131*12,$I$131,1,J$257,0))))))</f>
        <v>0</v>
      </c>
      <c r="K282" s="516">
        <f>IF($G$282=0,0,IF($K$131=0,0,IF(K$257&gt;$K$131*12,0,IF(Sources!$G$41="Interest Only for 30 years",J282,IF(OR(Sources!$G$41="Interest Only for 15 yrs., then 40 year Am with Balloon",Sources!$G$41="Interest Only for 15 yrs., then 30 year Am with Balloon"),IF(K$257&lt;=180,J282,$I$131+CUMPRINC($J$131/12,$K$131*12,$I$131,1,K$257-180,0)),$I$131+CUMPRINC($J$131/12,$K$131*12,$I$131,1,K$257,0))))))</f>
        <v>0</v>
      </c>
      <c r="L282" s="516">
        <f>IF($G$282=0,0,IF($K$131=0,0,IF(L$257&gt;$K$131*12,0,IF(Sources!$G$41="Interest Only for 30 years",K282,IF(OR(Sources!$G$41="Interest Only for 15 yrs., then 40 year Am with Balloon",Sources!$G$41="Interest Only for 15 yrs., then 30 year Am with Balloon"),IF(L$257&lt;=180,K282,$I$131+CUMPRINC($J$131/12,$K$131*12,$I$131,1,L$257-180,0)),$I$131+CUMPRINC($J$131/12,$K$131*12,$I$131,1,L$257,0))))))</f>
        <v>0</v>
      </c>
      <c r="M282" s="516">
        <f>IF($G$282=0,0,IF($K$131=0,0,IF(M$257&gt;$K$131*12,0,IF(Sources!$G$41="Interest Only for 30 years",L282,IF(OR(Sources!$G$41="Interest Only for 15 yrs., then 40 year Am with Balloon",Sources!$G$41="Interest Only for 15 yrs., then 30 year Am with Balloon"),IF(M$257&lt;=180,L282,$I$131+CUMPRINC($J$131/12,$K$131*12,$I$131,1,M$257-180,0)),$I$131+CUMPRINC($J$131/12,$K$131*12,$I$131,1,M$257,0))))))</f>
        <v>0</v>
      </c>
      <c r="N282" s="516"/>
      <c r="O282" s="516"/>
      <c r="P282" s="516">
        <f>IF($G$282=0,0,IF($K$131=0,0,IF(P$257&gt;$K$131*12,0,IF(Sources!$G$41="Interest Only for 30 years",M282,IF(OR(Sources!$G$41="Interest Only for 15 yrs., then 40 year Am with Balloon",Sources!$G$41="Interest Only for 15 yrs., then 30 year Am with Balloon"),IF(P$257&lt;=180,M282,$I$131+CUMPRINC($J$131/12,$K$131*12,$I$131,1,P$257-180,0)),$I$131+CUMPRINC($J$131/12,$K$131*12,$I$131,1,P$257,0))))))</f>
        <v>0</v>
      </c>
      <c r="Q282" s="516">
        <f>IF($G$282=0,0,IF($K$131=0,0,IF(Q$257&gt;$K$131*12,0,IF(Sources!$G$41="Interest Only for 30 years",P282,IF(OR(Sources!$G$41="Interest Only for 15 yrs., then 40 year Am with Balloon",Sources!$G$41="Interest Only for 15 yrs., then 30 year Am with Balloon"),IF(Q$257&lt;=180,P282,$I$131+CUMPRINC($J$131/12,$K$131*12,$I$131,1,Q$257-180,0)),$I$131+CUMPRINC($J$131/12,$K$131*12,$I$131,1,Q$257,0))))))</f>
        <v>0</v>
      </c>
      <c r="R282" s="516">
        <f>IF($G$282=0,0,IF($K$131=0,0,IF(R$257&gt;$K$131*12,0,IF(Sources!$G$41="Interest Only for 30 years",Q282,IF(OR(Sources!$G$41="Interest Only for 15 yrs., then 40 year Am with Balloon",Sources!$G$41="Interest Only for 15 yrs., then 30 year Am with Balloon"),IF(R$257&lt;=180,Q282,$I$131+CUMPRINC($J$131/12,$K$131*12,$I$131,1,R$257-180,0)),$I$131+CUMPRINC($J$131/12,$K$131*12,$I$131,1,R$257,0))))))</f>
        <v>0</v>
      </c>
      <c r="S282" s="516">
        <f>IF($G$282=0,0,IF($K$131=0,0,IF(S$257&gt;$K$131*12,0,IF(Sources!$G$41="Interest Only for 30 years",R282,IF(OR(Sources!$G$41="Interest Only for 15 yrs., then 40 year Am with Balloon",Sources!$G$41="Interest Only for 15 yrs., then 30 year Am with Balloon"),IF(S$257&lt;=180,R282,$I$131+CUMPRINC($J$131/12,$K$131*12,$I$131,1,S$257-180,0)),$I$131+CUMPRINC($J$131/12,$K$131*12,$I$131,1,S$257,0))))))</f>
        <v>0</v>
      </c>
      <c r="T282" s="477">
        <f>IF($G$282=0,0,IF($K$131=0,0,IF(T$257&gt;$K$131*12,0,IF(Sources!$G$41="Interest Only for 30 years",S282,IF(OR(Sources!$G$41="Interest Only for 15 yrs., then 40 year Am with Balloon",Sources!$G$41="Interest Only for 15 yrs., then 30 year Am with Balloon"),IF(T$257&lt;=180,S282,$I$131+CUMPRINC($J$131/12,$K$131*12,$I$131,1,T$257-180,0)),$I$131+CUMPRINC($J$131/12,$K$131*12,$I$131,1,T$257,0))))))</f>
        <v>0</v>
      </c>
      <c r="X282" s="519"/>
      <c r="Y282" s="501"/>
      <c r="AA282" s="476"/>
      <c r="AG282" s="476"/>
      <c r="AH282" s="476"/>
      <c r="AI282" s="476"/>
      <c r="AJ282" s="476"/>
      <c r="AK282" s="476"/>
      <c r="AL282" s="476"/>
      <c r="AM282" s="476"/>
      <c r="AN282" s="476"/>
      <c r="AO282" s="476"/>
      <c r="AP282" s="476"/>
      <c r="AQ282" s="476"/>
      <c r="AR282" s="476"/>
      <c r="AS282" s="476"/>
      <c r="AT282" s="476"/>
      <c r="AU282" s="476"/>
      <c r="AV282" s="476"/>
      <c r="AW282" s="476"/>
      <c r="AX282" s="476"/>
      <c r="AY282" s="476"/>
    </row>
    <row r="283" spans="3:51" outlineLevel="1" x14ac:dyDescent="0.2">
      <c r="C283" s="402" t="s">
        <v>259</v>
      </c>
      <c r="G283" s="516">
        <f t="shared" ref="G283:M283" ca="1" si="72">SUM(G277:G282)</f>
        <v>0</v>
      </c>
      <c r="H283" s="516">
        <f t="shared" ca="1" si="72"/>
        <v>0</v>
      </c>
      <c r="I283" s="516">
        <f t="shared" ca="1" si="72"/>
        <v>0</v>
      </c>
      <c r="J283" s="516">
        <f t="shared" ca="1" si="72"/>
        <v>0</v>
      </c>
      <c r="K283" s="516">
        <f t="shared" ca="1" si="72"/>
        <v>0</v>
      </c>
      <c r="L283" s="516">
        <f t="shared" ca="1" si="72"/>
        <v>0</v>
      </c>
      <c r="M283" s="516">
        <f t="shared" ca="1" si="72"/>
        <v>0</v>
      </c>
      <c r="N283" s="516"/>
      <c r="O283" s="516"/>
      <c r="P283" s="516">
        <f ca="1">SUM(P277:P282)</f>
        <v>0</v>
      </c>
      <c r="Q283" s="516">
        <f ca="1">SUM(Q277:Q282)</f>
        <v>0</v>
      </c>
      <c r="R283" s="516">
        <f ca="1">SUM(R277:R282)</f>
        <v>0</v>
      </c>
      <c r="S283" s="516">
        <f ca="1">SUM(S277:S282)</f>
        <v>0</v>
      </c>
      <c r="T283" s="477">
        <f ca="1">SUM(T277:T282)</f>
        <v>0</v>
      </c>
      <c r="X283" s="519"/>
      <c r="Y283" s="501"/>
      <c r="AA283" s="476"/>
      <c r="AG283" s="476"/>
      <c r="AH283" s="476"/>
      <c r="AI283" s="476"/>
      <c r="AJ283" s="476"/>
      <c r="AK283" s="476"/>
      <c r="AL283" s="476"/>
      <c r="AM283" s="476"/>
      <c r="AN283" s="476"/>
      <c r="AO283" s="476"/>
      <c r="AP283" s="476"/>
      <c r="AQ283" s="476"/>
      <c r="AR283" s="476"/>
      <c r="AS283" s="476"/>
      <c r="AT283" s="476"/>
      <c r="AU283" s="476"/>
      <c r="AV283" s="476"/>
      <c r="AW283" s="476"/>
      <c r="AX283" s="476"/>
      <c r="AY283" s="476"/>
    </row>
    <row r="284" spans="3:51" ht="11.25" hidden="1" customHeight="1" outlineLevel="3" x14ac:dyDescent="0.2">
      <c r="C284" s="402"/>
      <c r="G284" s="516"/>
      <c r="H284" s="516"/>
      <c r="I284" s="516"/>
      <c r="J284" s="516"/>
      <c r="K284" s="516"/>
      <c r="L284" s="516"/>
      <c r="M284" s="516"/>
      <c r="N284" s="516"/>
      <c r="O284" s="516"/>
      <c r="P284" s="516"/>
      <c r="Q284" s="516"/>
      <c r="R284" s="516"/>
      <c r="S284" s="516"/>
      <c r="T284" s="477"/>
      <c r="Y284" s="501"/>
      <c r="AA284" s="476"/>
      <c r="AB284" s="476"/>
      <c r="AC284" s="476"/>
      <c r="AD284" s="476"/>
      <c r="AE284" s="532"/>
      <c r="AF284" s="476"/>
    </row>
    <row r="285" spans="3:51" hidden="1" outlineLevel="2" x14ac:dyDescent="0.2">
      <c r="C285" s="471" t="str">
        <f t="shared" ref="C285:C290" si="73">C244</f>
        <v>AHP Subsidized Advance</v>
      </c>
      <c r="D285" s="421"/>
      <c r="E285" s="421"/>
      <c r="G285" s="516">
        <f t="shared" ref="G285:G290" si="74">T244</f>
        <v>0</v>
      </c>
      <c r="H285" s="516">
        <f t="shared" ref="H285:M285" si="75">IF($I132=0,0,IF(H$257&gt;$K132*12,"",$I132+CUMPRINC($J132/12,$K132*12,$I132,1,H$257,0)))</f>
        <v>0</v>
      </c>
      <c r="I285" s="516">
        <f t="shared" si="75"/>
        <v>0</v>
      </c>
      <c r="J285" s="516">
        <f t="shared" si="75"/>
        <v>0</v>
      </c>
      <c r="K285" s="516">
        <f t="shared" si="75"/>
        <v>0</v>
      </c>
      <c r="L285" s="516">
        <f t="shared" si="75"/>
        <v>0</v>
      </c>
      <c r="M285" s="516">
        <f t="shared" si="75"/>
        <v>0</v>
      </c>
      <c r="N285" s="516"/>
      <c r="O285" s="516"/>
      <c r="P285" s="516">
        <f>IF($I132=0,0,IF(P$257&gt;$K132*12,"",$I132+CUMPRINC($J132/12,$K132*12,$I132,1,P$257,0)))</f>
        <v>0</v>
      </c>
      <c r="Q285" s="516">
        <f>IF($I132=0,0,IF(Q$257&gt;$K132*12,"",$I132+CUMPRINC($J132/12,$K132*12,$I132,1,Q$257,0)))</f>
        <v>0</v>
      </c>
      <c r="R285" s="516">
        <f>IF($I132=0,0,IF(R$257&gt;$K132*12,"",$I132+CUMPRINC($J132/12,$K132*12,$I132,1,R$257,0)))</f>
        <v>0</v>
      </c>
      <c r="S285" s="516">
        <f>IF($I132=0,0,IF(S$257&gt;$K132*12,0,$I132+CUMPRINC($J132/12,$K132*12,$I132,1,S$257,0)))</f>
        <v>0</v>
      </c>
      <c r="T285" s="477">
        <f>IF($I132=0,0,IF(T$257&gt;$K132*12,0,$I132+CUMPRINC($J132/12,$K132*12,$I132,1,T$257,0)))</f>
        <v>0</v>
      </c>
      <c r="X285" s="519"/>
      <c r="Y285" s="501"/>
      <c r="AA285" s="476"/>
      <c r="AB285" s="476"/>
      <c r="AC285" s="476"/>
      <c r="AD285" s="476"/>
      <c r="AE285" s="532"/>
      <c r="AF285" s="476"/>
      <c r="AG285" s="394"/>
      <c r="AH285" s="394"/>
      <c r="AI285" s="394"/>
      <c r="AJ285" s="394"/>
      <c r="AK285" s="394"/>
      <c r="AL285" s="394"/>
      <c r="AM285" s="394"/>
      <c r="AN285" s="394"/>
      <c r="AO285" s="394"/>
      <c r="AP285" s="394"/>
      <c r="AQ285" s="394"/>
      <c r="AR285" s="394"/>
      <c r="AS285" s="394"/>
      <c r="AT285" s="394"/>
      <c r="AU285" s="394"/>
      <c r="AV285" s="394"/>
      <c r="AW285" s="394"/>
      <c r="AX285" s="394"/>
      <c r="AY285" s="394"/>
    </row>
    <row r="286" spans="3:51" hidden="1" outlineLevel="2" x14ac:dyDescent="0.2">
      <c r="C286" s="471" t="str">
        <f t="shared" si="73"/>
        <v>City FEDHOME*</v>
      </c>
      <c r="D286" s="421"/>
      <c r="E286" s="421"/>
      <c r="G286" s="516">
        <f t="shared" si="74"/>
        <v>0</v>
      </c>
      <c r="H286" s="516">
        <f t="shared" ref="H286:M290" si="76">IF($I133=0,0,IF(H$257&gt;$K133*12,"",IF($J133=0,G286-$M133,IF($M133=0,G286*(1+$J133),$I133+CUMPRINC($J133/12,$K133*12,$I133,1,H$257,0)))))</f>
        <v>0</v>
      </c>
      <c r="I286" s="516">
        <f t="shared" si="76"/>
        <v>0</v>
      </c>
      <c r="J286" s="516">
        <f t="shared" si="76"/>
        <v>0</v>
      </c>
      <c r="K286" s="516">
        <f t="shared" si="76"/>
        <v>0</v>
      </c>
      <c r="L286" s="516">
        <f t="shared" si="76"/>
        <v>0</v>
      </c>
      <c r="M286" s="516">
        <f t="shared" si="76"/>
        <v>0</v>
      </c>
      <c r="N286" s="516"/>
      <c r="O286" s="516"/>
      <c r="P286" s="516">
        <f>IF($I133=0,0,IF(P$257&gt;$K133*12,"",IF($J133=0,M286-$M133,IF($M133=0,M286*(1+$J133),$I133+CUMPRINC($J133/12,$K133*12,$I133,1,P$257,0)))))</f>
        <v>0</v>
      </c>
      <c r="Q286" s="516">
        <f t="shared" ref="Q286:T290" si="77">IF($I133=0,0,IF(Q$257&gt;$K133*12,"",IF($J133=0,P286-$M133,IF($M133=0,P286*(1+$J133),$I133+CUMPRINC($J133/12,$K133*12,$I133,1,Q$257,0)))))</f>
        <v>0</v>
      </c>
      <c r="R286" s="516">
        <f t="shared" si="77"/>
        <v>0</v>
      </c>
      <c r="S286" s="516">
        <f t="shared" si="77"/>
        <v>0</v>
      </c>
      <c r="T286" s="477">
        <f t="shared" si="77"/>
        <v>0</v>
      </c>
    </row>
    <row r="287" spans="3:51" hidden="1" outlineLevel="2" x14ac:dyDescent="0.2">
      <c r="C287" s="471" t="str">
        <f t="shared" si="73"/>
        <v>AHP Capital Advance*</v>
      </c>
      <c r="D287" s="421"/>
      <c r="E287" s="421"/>
      <c r="G287" s="516">
        <f t="shared" si="74"/>
        <v>0</v>
      </c>
      <c r="H287" s="516">
        <f t="shared" si="76"/>
        <v>0</v>
      </c>
      <c r="I287" s="516">
        <f t="shared" si="76"/>
        <v>0</v>
      </c>
      <c r="J287" s="516">
        <f t="shared" si="76"/>
        <v>0</v>
      </c>
      <c r="K287" s="516">
        <f t="shared" si="76"/>
        <v>0</v>
      </c>
      <c r="L287" s="516">
        <f t="shared" si="76"/>
        <v>0</v>
      </c>
      <c r="M287" s="516">
        <f t="shared" si="76"/>
        <v>0</v>
      </c>
      <c r="N287" s="516"/>
      <c r="O287" s="516"/>
      <c r="P287" s="516">
        <f>IF($I134=0,0,IF(P$257&gt;$K134*12,"",IF($J134=0,M287-$M134,IF($M134=0,M287*(1+$J134),$I134+CUMPRINC($J134/12,$K134*12,$I134,1,P$257,0)))))</f>
        <v>0</v>
      </c>
      <c r="Q287" s="516">
        <f t="shared" si="77"/>
        <v>0</v>
      </c>
      <c r="R287" s="516">
        <f t="shared" si="77"/>
        <v>0</v>
      </c>
      <c r="S287" s="516">
        <f t="shared" si="77"/>
        <v>0</v>
      </c>
      <c r="T287" s="477">
        <f t="shared" si="77"/>
        <v>0</v>
      </c>
      <c r="Y287" s="394"/>
      <c r="AA287" s="476"/>
      <c r="AB287" s="394"/>
      <c r="AC287" s="394"/>
      <c r="AD287" s="394"/>
      <c r="AE287" s="1167"/>
      <c r="AF287" s="394"/>
    </row>
    <row r="288" spans="3:51" hidden="1" outlineLevel="3" x14ac:dyDescent="0.2">
      <c r="C288" s="471" t="str">
        <f t="shared" si="73"/>
        <v>TIF Loan*</v>
      </c>
      <c r="D288" s="421"/>
      <c r="E288" s="421"/>
      <c r="G288" s="516">
        <f t="shared" si="74"/>
        <v>0</v>
      </c>
      <c r="H288" s="516">
        <f t="shared" si="76"/>
        <v>0</v>
      </c>
      <c r="I288" s="516">
        <f t="shared" si="76"/>
        <v>0</v>
      </c>
      <c r="J288" s="516">
        <f t="shared" si="76"/>
        <v>0</v>
      </c>
      <c r="K288" s="516">
        <f t="shared" si="76"/>
        <v>0</v>
      </c>
      <c r="L288" s="516">
        <f t="shared" si="76"/>
        <v>0</v>
      </c>
      <c r="M288" s="516">
        <f t="shared" si="76"/>
        <v>0</v>
      </c>
      <c r="N288" s="516"/>
      <c r="O288" s="516"/>
      <c r="P288" s="516">
        <f>IF($I135=0,0,IF(P$257&gt;$K135*12,"",IF($J135=0,M288-$M135,IF($M135=0,M288*(1+$J135),$I135+CUMPRINC($J135/12,$K135*12,$I135,1,P$257,0)))))</f>
        <v>0</v>
      </c>
      <c r="Q288" s="516">
        <f t="shared" si="77"/>
        <v>0</v>
      </c>
      <c r="R288" s="516">
        <f t="shared" si="77"/>
        <v>0</v>
      </c>
      <c r="S288" s="516">
        <f t="shared" si="77"/>
        <v>0</v>
      </c>
      <c r="T288" s="477">
        <f t="shared" si="77"/>
        <v>0</v>
      </c>
    </row>
    <row r="289" spans="3:24" hidden="1" outlineLevel="3" x14ac:dyDescent="0.2">
      <c r="C289" s="471" t="str">
        <f t="shared" si="73"/>
        <v xml:space="preserve"> </v>
      </c>
      <c r="D289" s="421"/>
      <c r="E289" s="421"/>
      <c r="G289" s="516">
        <f t="shared" si="74"/>
        <v>0</v>
      </c>
      <c r="H289" s="516">
        <f t="shared" si="76"/>
        <v>0</v>
      </c>
      <c r="I289" s="516">
        <f t="shared" si="76"/>
        <v>0</v>
      </c>
      <c r="J289" s="516">
        <f t="shared" si="76"/>
        <v>0</v>
      </c>
      <c r="K289" s="516">
        <f t="shared" si="76"/>
        <v>0</v>
      </c>
      <c r="L289" s="516">
        <f t="shared" si="76"/>
        <v>0</v>
      </c>
      <c r="M289" s="516">
        <f t="shared" si="76"/>
        <v>0</v>
      </c>
      <c r="N289" s="516"/>
      <c r="O289" s="516"/>
      <c r="P289" s="516">
        <f>IF($I136=0,0,IF(P$257&gt;$K136*12,"",IF($J136=0,M289-$M136,IF($M136=0,M289*(1+$J136),$I136+CUMPRINC($J136/12,$K136*12,$I136,1,P$257,0)))))</f>
        <v>0</v>
      </c>
      <c r="Q289" s="516">
        <f t="shared" si="77"/>
        <v>0</v>
      </c>
      <c r="R289" s="516">
        <f t="shared" si="77"/>
        <v>0</v>
      </c>
      <c r="S289" s="516">
        <f t="shared" si="77"/>
        <v>0</v>
      </c>
      <c r="T289" s="477">
        <f t="shared" si="77"/>
        <v>0</v>
      </c>
    </row>
    <row r="290" spans="3:24" hidden="1" outlineLevel="3" x14ac:dyDescent="0.2">
      <c r="C290" s="471" t="str">
        <f t="shared" si="73"/>
        <v xml:space="preserve"> </v>
      </c>
      <c r="D290" s="421"/>
      <c r="E290" s="421"/>
      <c r="G290" s="516">
        <f t="shared" si="74"/>
        <v>0</v>
      </c>
      <c r="H290" s="516">
        <f t="shared" si="76"/>
        <v>0</v>
      </c>
      <c r="I290" s="516">
        <f t="shared" si="76"/>
        <v>0</v>
      </c>
      <c r="J290" s="516">
        <f t="shared" si="76"/>
        <v>0</v>
      </c>
      <c r="K290" s="516">
        <f t="shared" si="76"/>
        <v>0</v>
      </c>
      <c r="L290" s="516">
        <f t="shared" si="76"/>
        <v>0</v>
      </c>
      <c r="M290" s="516">
        <f t="shared" si="76"/>
        <v>0</v>
      </c>
      <c r="N290" s="516"/>
      <c r="O290" s="516"/>
      <c r="P290" s="516">
        <f>IF($I137=0,0,IF(P$257&gt;$K137*12,"",IF($J137=0,M290-$M137,IF($M137=0,M290*(1+$J137),$I137+CUMPRINC($J137/12,$K137*12,$I137,1,P$257,0)))))</f>
        <v>0</v>
      </c>
      <c r="Q290" s="516">
        <f t="shared" si="77"/>
        <v>0</v>
      </c>
      <c r="R290" s="516">
        <f t="shared" si="77"/>
        <v>0</v>
      </c>
      <c r="S290" s="516">
        <f t="shared" si="77"/>
        <v>0</v>
      </c>
      <c r="T290" s="477">
        <f t="shared" si="77"/>
        <v>0</v>
      </c>
    </row>
    <row r="291" spans="3:24" outlineLevel="3" x14ac:dyDescent="0.2">
      <c r="C291" s="402" t="s">
        <v>258</v>
      </c>
      <c r="G291" s="516">
        <f t="shared" ref="G291:M291" si="78">SUM(G285:G290)</f>
        <v>0</v>
      </c>
      <c r="H291" s="516">
        <f t="shared" si="78"/>
        <v>0</v>
      </c>
      <c r="I291" s="516">
        <f t="shared" si="78"/>
        <v>0</v>
      </c>
      <c r="J291" s="516">
        <f t="shared" si="78"/>
        <v>0</v>
      </c>
      <c r="K291" s="516">
        <f t="shared" si="78"/>
        <v>0</v>
      </c>
      <c r="L291" s="516">
        <f t="shared" si="78"/>
        <v>0</v>
      </c>
      <c r="M291" s="516">
        <f t="shared" si="78"/>
        <v>0</v>
      </c>
      <c r="N291" s="516"/>
      <c r="O291" s="516"/>
      <c r="P291" s="516">
        <f>SUM(P285:P290)</f>
        <v>0</v>
      </c>
      <c r="Q291" s="516">
        <f>SUM(Q285:Q290)</f>
        <v>0</v>
      </c>
      <c r="R291" s="516">
        <f>SUM(R285:R290)</f>
        <v>0</v>
      </c>
      <c r="S291" s="516">
        <f>SUM(S285:S290)</f>
        <v>0</v>
      </c>
      <c r="T291" s="477">
        <f>SUM(T285:T290)</f>
        <v>0</v>
      </c>
    </row>
    <row r="292" spans="3:24" outlineLevel="3" x14ac:dyDescent="0.2">
      <c r="C292" s="402"/>
      <c r="G292" s="516"/>
      <c r="H292" s="516"/>
      <c r="I292" s="516"/>
      <c r="J292" s="516"/>
      <c r="K292" s="516"/>
      <c r="L292" s="516"/>
      <c r="M292" s="516"/>
      <c r="N292" s="516"/>
      <c r="O292" s="516"/>
      <c r="P292" s="516"/>
      <c r="Q292" s="516"/>
      <c r="R292" s="516"/>
      <c r="S292" s="516"/>
      <c r="T292" s="477"/>
    </row>
    <row r="293" spans="3:24" outlineLevel="4" x14ac:dyDescent="0.2">
      <c r="C293" s="409" t="s">
        <v>257</v>
      </c>
      <c r="D293" s="412"/>
      <c r="E293" s="412"/>
      <c r="F293" s="412"/>
      <c r="G293" s="520">
        <f ca="1">T252</f>
        <v>0</v>
      </c>
      <c r="H293" s="517">
        <f t="shared" ref="H293:M293" ca="1" si="79">IF(H272&lt;0,G293*1.015+H272,G293*1.015)</f>
        <v>0</v>
      </c>
      <c r="I293" s="517">
        <f t="shared" ca="1" si="79"/>
        <v>0</v>
      </c>
      <c r="J293" s="517">
        <f t="shared" ca="1" si="79"/>
        <v>0</v>
      </c>
      <c r="K293" s="517">
        <f t="shared" ca="1" si="79"/>
        <v>0</v>
      </c>
      <c r="L293" s="517">
        <f t="shared" ca="1" si="79"/>
        <v>0</v>
      </c>
      <c r="M293" s="517">
        <f t="shared" ca="1" si="79"/>
        <v>0</v>
      </c>
      <c r="N293" s="517"/>
      <c r="O293" s="517"/>
      <c r="P293" s="517">
        <f ca="1">IF(P272&lt;0,M293*1.015+P272,M293*1.015)</f>
        <v>0</v>
      </c>
      <c r="Q293" s="517">
        <f ca="1">IF(Q272&lt;0,P293*1.015+Q272,P293*1.015)</f>
        <v>0</v>
      </c>
      <c r="R293" s="517">
        <f ca="1">IF(R272&lt;0,Q293*1.015+R272,Q293*1.015)</f>
        <v>0</v>
      </c>
      <c r="S293" s="517">
        <f ca="1">IF(S272&lt;0,R293*1.015+S272,R293*1.015)</f>
        <v>0</v>
      </c>
      <c r="T293" s="518">
        <f ca="1">IF(T272&lt;0,S293*1.015+T272,S293*1.015)</f>
        <v>0</v>
      </c>
    </row>
    <row r="294" spans="3:24" outlineLevel="4" x14ac:dyDescent="0.2">
      <c r="G294" s="394"/>
      <c r="H294" s="995"/>
      <c r="I294" s="394"/>
      <c r="J294" s="394"/>
      <c r="K294" s="394"/>
      <c r="L294" s="394"/>
      <c r="M294" s="394"/>
      <c r="N294" s="394"/>
      <c r="O294" s="394"/>
      <c r="P294" s="394"/>
      <c r="Q294" s="394"/>
      <c r="R294" s="394"/>
      <c r="S294" s="394"/>
      <c r="T294" s="394"/>
    </row>
    <row r="295" spans="3:24" outlineLevel="3" x14ac:dyDescent="0.2">
      <c r="K295" s="394"/>
    </row>
    <row r="296" spans="3:24" outlineLevel="3" x14ac:dyDescent="0.2">
      <c r="C296" s="1151" t="s">
        <v>268</v>
      </c>
      <c r="D296" s="1152"/>
      <c r="E296" s="529"/>
      <c r="F296" s="1152"/>
      <c r="G296" s="1152"/>
      <c r="H296" s="1152"/>
      <c r="I296" s="1152"/>
      <c r="J296" s="1152"/>
      <c r="K296" s="1152"/>
      <c r="L296" s="1152"/>
      <c r="M296" s="1152"/>
      <c r="N296" s="1152"/>
      <c r="O296" s="1152"/>
      <c r="P296" s="1152"/>
      <c r="Q296" s="1152"/>
      <c r="R296" s="1154"/>
      <c r="V296" s="476"/>
    </row>
    <row r="297" spans="3:24" outlineLevel="3" x14ac:dyDescent="0.2">
      <c r="C297" s="402"/>
      <c r="R297" s="438"/>
      <c r="U297" s="407"/>
      <c r="V297" s="476"/>
    </row>
    <row r="298" spans="3:24" hidden="1" outlineLevel="3" x14ac:dyDescent="0.2">
      <c r="C298" s="402"/>
      <c r="H298" s="470">
        <f ca="1">T257+12</f>
        <v>270</v>
      </c>
      <c r="I298" s="470">
        <f ca="1">H298+12</f>
        <v>282</v>
      </c>
      <c r="J298" s="470">
        <f ca="1">I298+12</f>
        <v>294</v>
      </c>
      <c r="K298" s="470">
        <f ca="1">J298+12</f>
        <v>306</v>
      </c>
      <c r="L298" s="470">
        <f ca="1">K298+12</f>
        <v>318</v>
      </c>
      <c r="M298" s="470">
        <f ca="1">L298+12</f>
        <v>330</v>
      </c>
      <c r="N298" s="470"/>
      <c r="O298" s="519"/>
      <c r="P298" s="470">
        <f ca="1">M298+12</f>
        <v>342</v>
      </c>
      <c r="Q298" s="470">
        <f ca="1">P298+12</f>
        <v>354</v>
      </c>
      <c r="R298" s="486">
        <f ca="1">IF(Q298&lt;=360,Q298+12-H216,"")</f>
        <v>360</v>
      </c>
    </row>
    <row r="299" spans="3:24" outlineLevel="3" x14ac:dyDescent="0.2">
      <c r="C299" s="409"/>
      <c r="D299" s="412"/>
      <c r="E299" s="412"/>
      <c r="F299" s="412"/>
      <c r="G299" s="412"/>
      <c r="H299" s="958">
        <f ca="1">DATE(YEAR(T258)+1,12,31)</f>
        <v>54788</v>
      </c>
      <c r="I299" s="958">
        <f ca="1">DATE(YEAR(H299)+1,12,31)</f>
        <v>55153</v>
      </c>
      <c r="J299" s="958">
        <f ca="1">DATE(YEAR(I299)+1,12,31)</f>
        <v>55518</v>
      </c>
      <c r="K299" s="958">
        <f ca="1">DATE(YEAR(J299)+1,12,31)</f>
        <v>55884</v>
      </c>
      <c r="L299" s="958">
        <f ca="1">DATE(YEAR(K299)+1,12,31)</f>
        <v>56249</v>
      </c>
      <c r="M299" s="958">
        <f ca="1">DATE(YEAR(L299)+1,12,31)</f>
        <v>56614</v>
      </c>
      <c r="N299" s="958"/>
      <c r="O299" s="958"/>
      <c r="P299" s="958">
        <f ca="1">DATE(YEAR(M299)+1,12,31)</f>
        <v>56979</v>
      </c>
      <c r="Q299" s="958">
        <f ca="1">DATE(YEAR(P299)+1,12,31)</f>
        <v>57345</v>
      </c>
      <c r="R299" s="959">
        <f ca="1">DATE(YEAR(Q299)+1,12,31)</f>
        <v>57710</v>
      </c>
      <c r="V299" s="394"/>
    </row>
    <row r="300" spans="3:24" ht="11.25" customHeight="1" outlineLevel="3" x14ac:dyDescent="0.2">
      <c r="C300" s="1151" t="s">
        <v>267</v>
      </c>
      <c r="D300" s="1152"/>
      <c r="E300" s="529"/>
      <c r="F300" s="1152"/>
      <c r="G300" s="1180"/>
      <c r="H300" s="1180">
        <f ca="1">T259*(1+$M$6)</f>
        <v>0</v>
      </c>
      <c r="I300" s="1180">
        <f ca="1">H300*(1+$M$6)</f>
        <v>0</v>
      </c>
      <c r="J300" s="1180">
        <f ca="1">I300*(1+$M$6)</f>
        <v>0</v>
      </c>
      <c r="K300" s="1180">
        <f ca="1">J300*(1+$M$6)</f>
        <v>0</v>
      </c>
      <c r="L300" s="1180">
        <f ca="1">K300*(1+$M$6)</f>
        <v>0</v>
      </c>
      <c r="M300" s="1180">
        <f ca="1">L300*(1+$M$6)</f>
        <v>0</v>
      </c>
      <c r="N300" s="1180"/>
      <c r="O300" s="1180"/>
      <c r="P300" s="1180">
        <f ca="1">M300*(1+$M$6)</f>
        <v>0</v>
      </c>
      <c r="Q300" s="1180">
        <f ca="1">P300*(1+$M$6)</f>
        <v>0</v>
      </c>
      <c r="R300" s="1181">
        <f ca="1">Q300*(1+$M$6)*((12-G215)/12)</f>
        <v>0</v>
      </c>
      <c r="V300" s="394"/>
    </row>
    <row r="301" spans="3:24" ht="11.25" customHeight="1" outlineLevel="3" x14ac:dyDescent="0.2">
      <c r="C301" s="402" t="s">
        <v>266</v>
      </c>
      <c r="G301" s="510"/>
      <c r="H301" s="510">
        <f ca="1">T260*(1+$M$7)</f>
        <v>0</v>
      </c>
      <c r="I301" s="510">
        <f ca="1">H301*(1+$M$7)</f>
        <v>0</v>
      </c>
      <c r="J301" s="510">
        <f ca="1">I301*(1+$M$7)</f>
        <v>0</v>
      </c>
      <c r="K301" s="510">
        <f ca="1">J301*(1+$M$7)</f>
        <v>0</v>
      </c>
      <c r="L301" s="510">
        <f ca="1">K301*(1+$M$7)</f>
        <v>0</v>
      </c>
      <c r="M301" s="510">
        <f ca="1">L301*(1+$M$7)</f>
        <v>0</v>
      </c>
      <c r="N301" s="510"/>
      <c r="O301" s="510"/>
      <c r="P301" s="510">
        <f ca="1">M301*(1+$M$7)</f>
        <v>0</v>
      </c>
      <c r="Q301" s="510">
        <f ca="1">P301*(1+$M$7)</f>
        <v>0</v>
      </c>
      <c r="R301" s="511">
        <f ca="1">Q301*(1+$M$7)*((12-G215)/12)</f>
        <v>0</v>
      </c>
      <c r="V301" s="407"/>
    </row>
    <row r="302" spans="3:24" ht="11.25" customHeight="1" outlineLevel="3" x14ac:dyDescent="0.2">
      <c r="C302" s="402" t="s">
        <v>265</v>
      </c>
      <c r="G302" s="510"/>
      <c r="H302" s="674">
        <f t="shared" ref="H302:M302" ca="1" si="80">H300-H301</f>
        <v>0</v>
      </c>
      <c r="I302" s="674">
        <f t="shared" ca="1" si="80"/>
        <v>0</v>
      </c>
      <c r="J302" s="674">
        <f t="shared" ca="1" si="80"/>
        <v>0</v>
      </c>
      <c r="K302" s="674">
        <f t="shared" ca="1" si="80"/>
        <v>0</v>
      </c>
      <c r="L302" s="674">
        <f t="shared" ca="1" si="80"/>
        <v>0</v>
      </c>
      <c r="M302" s="674">
        <f t="shared" ca="1" si="80"/>
        <v>0</v>
      </c>
      <c r="N302" s="674"/>
      <c r="O302" s="674"/>
      <c r="P302" s="674">
        <f ca="1">P300-P301</f>
        <v>0</v>
      </c>
      <c r="Q302" s="674">
        <f ca="1">Q300-Q301</f>
        <v>0</v>
      </c>
      <c r="R302" s="675">
        <f ca="1">R300-R301</f>
        <v>0</v>
      </c>
    </row>
    <row r="303" spans="3:24" ht="5.0999999999999996" customHeight="1" outlineLevel="3" x14ac:dyDescent="0.2">
      <c r="C303" s="402"/>
      <c r="G303" s="510"/>
      <c r="H303" s="674"/>
      <c r="I303" s="674"/>
      <c r="J303" s="674"/>
      <c r="K303" s="674"/>
      <c r="L303" s="674"/>
      <c r="M303" s="674"/>
      <c r="N303" s="674"/>
      <c r="O303" s="674"/>
      <c r="P303" s="674"/>
      <c r="Q303" s="674"/>
      <c r="R303" s="675"/>
      <c r="X303" s="501"/>
    </row>
    <row r="304" spans="3:24" hidden="1" x14ac:dyDescent="0.2">
      <c r="C304" s="666" t="s">
        <v>719</v>
      </c>
      <c r="D304" s="667"/>
      <c r="E304" s="667"/>
      <c r="F304" s="668"/>
      <c r="G304" s="668"/>
      <c r="H304" s="1182">
        <f>T263*1.03</f>
        <v>0</v>
      </c>
      <c r="I304" s="1182">
        <f t="shared" ref="I304:M305" si="81">H304*1.03</f>
        <v>0</v>
      </c>
      <c r="J304" s="1182">
        <f t="shared" si="81"/>
        <v>0</v>
      </c>
      <c r="K304" s="1182">
        <f t="shared" si="81"/>
        <v>0</v>
      </c>
      <c r="L304" s="1182">
        <f t="shared" si="81"/>
        <v>0</v>
      </c>
      <c r="M304" s="1182">
        <f t="shared" si="81"/>
        <v>0</v>
      </c>
      <c r="N304" s="510"/>
      <c r="O304" s="510"/>
      <c r="P304" s="1182">
        <f>M304*1.03</f>
        <v>0</v>
      </c>
      <c r="Q304" s="1182">
        <f>P304*1.03</f>
        <v>0</v>
      </c>
      <c r="R304" s="669">
        <f>Q304*1.03/2</f>
        <v>0</v>
      </c>
    </row>
    <row r="305" spans="3:32" ht="11.25" hidden="1" customHeight="1" outlineLevel="3" x14ac:dyDescent="0.2">
      <c r="C305" s="666" t="s">
        <v>720</v>
      </c>
      <c r="D305" s="667"/>
      <c r="E305" s="667"/>
      <c r="F305" s="668"/>
      <c r="G305" s="668"/>
      <c r="H305" s="1182">
        <f>T264*1.03</f>
        <v>0</v>
      </c>
      <c r="I305" s="1182">
        <f t="shared" si="81"/>
        <v>0</v>
      </c>
      <c r="J305" s="1182">
        <f t="shared" si="81"/>
        <v>0</v>
      </c>
      <c r="K305" s="1182">
        <f t="shared" si="81"/>
        <v>0</v>
      </c>
      <c r="L305" s="1182">
        <f t="shared" si="81"/>
        <v>0</v>
      </c>
      <c r="M305" s="1182">
        <f t="shared" si="81"/>
        <v>0</v>
      </c>
      <c r="N305" s="510"/>
      <c r="O305" s="510"/>
      <c r="P305" s="1182">
        <f>M305*1.03</f>
        <v>0</v>
      </c>
      <c r="Q305" s="1182">
        <f>P305*1.03</f>
        <v>0</v>
      </c>
      <c r="R305" s="669">
        <f>Q305*1.03/2</f>
        <v>0</v>
      </c>
      <c r="Y305" s="501"/>
      <c r="AA305" s="476"/>
    </row>
    <row r="306" spans="3:32" ht="11.25" hidden="1" customHeight="1" outlineLevel="3" x14ac:dyDescent="0.2">
      <c r="C306" s="666" t="s">
        <v>721</v>
      </c>
      <c r="D306" s="667"/>
      <c r="E306" s="667"/>
      <c r="F306" s="668"/>
      <c r="G306" s="668"/>
      <c r="H306" s="670">
        <f t="shared" ref="H306:M306" si="82">H304-H305</f>
        <v>0</v>
      </c>
      <c r="I306" s="670">
        <f t="shared" si="82"/>
        <v>0</v>
      </c>
      <c r="J306" s="670">
        <f t="shared" si="82"/>
        <v>0</v>
      </c>
      <c r="K306" s="670">
        <f t="shared" si="82"/>
        <v>0</v>
      </c>
      <c r="L306" s="670">
        <f t="shared" si="82"/>
        <v>0</v>
      </c>
      <c r="M306" s="670">
        <f t="shared" si="82"/>
        <v>0</v>
      </c>
      <c r="N306" s="510"/>
      <c r="O306" s="510"/>
      <c r="P306" s="670">
        <f>P304-P305</f>
        <v>0</v>
      </c>
      <c r="Q306" s="670">
        <f>Q304-Q305</f>
        <v>0</v>
      </c>
      <c r="R306" s="671">
        <f>R304-R305</f>
        <v>0</v>
      </c>
    </row>
    <row r="307" spans="3:32" ht="5.0999999999999996" hidden="1" customHeight="1" outlineLevel="3" x14ac:dyDescent="0.2">
      <c r="C307" s="402"/>
      <c r="G307" s="516"/>
      <c r="H307" s="672"/>
      <c r="I307" s="672"/>
      <c r="J307" s="672"/>
      <c r="K307" s="672"/>
      <c r="L307" s="672"/>
      <c r="M307" s="672"/>
      <c r="N307" s="672"/>
      <c r="O307" s="672"/>
      <c r="P307" s="672"/>
      <c r="Q307" s="672"/>
      <c r="R307" s="673"/>
    </row>
    <row r="308" spans="3:32" ht="11.25" hidden="1" customHeight="1" outlineLevel="3" x14ac:dyDescent="0.2">
      <c r="C308" s="402" t="s">
        <v>722</v>
      </c>
      <c r="H308" s="510">
        <f t="shared" ref="H308:M308" ca="1" si="83">H302+H306</f>
        <v>0</v>
      </c>
      <c r="I308" s="510">
        <f t="shared" ca="1" si="83"/>
        <v>0</v>
      </c>
      <c r="J308" s="510">
        <f t="shared" ca="1" si="83"/>
        <v>0</v>
      </c>
      <c r="K308" s="510">
        <f t="shared" ca="1" si="83"/>
        <v>0</v>
      </c>
      <c r="L308" s="510">
        <f t="shared" ca="1" si="83"/>
        <v>0</v>
      </c>
      <c r="M308" s="510">
        <f t="shared" ca="1" si="83"/>
        <v>0</v>
      </c>
      <c r="N308" s="510"/>
      <c r="O308" s="510"/>
      <c r="P308" s="510">
        <f ca="1">P302+P306</f>
        <v>0</v>
      </c>
      <c r="Q308" s="510">
        <f ca="1">Q302+Q306</f>
        <v>0</v>
      </c>
      <c r="R308" s="511">
        <f ca="1">R302+R306</f>
        <v>0</v>
      </c>
    </row>
    <row r="309" spans="3:32" ht="5.0999999999999996" customHeight="1" outlineLevel="3" x14ac:dyDescent="0.2">
      <c r="C309" s="402"/>
      <c r="G309" s="510"/>
      <c r="H309" s="510"/>
      <c r="I309" s="510"/>
      <c r="J309" s="510"/>
      <c r="K309" s="510"/>
      <c r="L309" s="510"/>
      <c r="M309" s="510"/>
      <c r="N309" s="510"/>
      <c r="O309" s="510"/>
      <c r="P309" s="510"/>
      <c r="Q309" s="510"/>
      <c r="R309" s="511"/>
      <c r="X309" s="501"/>
    </row>
    <row r="310" spans="3:32" outlineLevel="2" x14ac:dyDescent="0.2">
      <c r="C310" s="402" t="s">
        <v>264</v>
      </c>
      <c r="G310" s="510"/>
      <c r="H310" s="516">
        <f t="shared" ref="H310:M310" si="84">SUM($Q$126:$Q$131)</f>
        <v>0</v>
      </c>
      <c r="I310" s="516">
        <f t="shared" si="84"/>
        <v>0</v>
      </c>
      <c r="J310" s="516">
        <f t="shared" si="84"/>
        <v>0</v>
      </c>
      <c r="K310" s="516">
        <f t="shared" si="84"/>
        <v>0</v>
      </c>
      <c r="L310" s="516">
        <f t="shared" si="84"/>
        <v>0</v>
      </c>
      <c r="M310" s="516">
        <f t="shared" si="84"/>
        <v>0</v>
      </c>
      <c r="N310" s="510"/>
      <c r="O310" s="510"/>
      <c r="P310" s="516">
        <f>SUM($Q$126:$Q$131)</f>
        <v>0</v>
      </c>
      <c r="Q310" s="516">
        <f>SUM($Q$126:$Q$131)</f>
        <v>0</v>
      </c>
      <c r="R310" s="477">
        <f ca="1">SUM($Q$126:$Q$131)*((12-G215)/12)</f>
        <v>0</v>
      </c>
    </row>
    <row r="311" spans="3:32" x14ac:dyDescent="0.2">
      <c r="C311" s="402" t="s">
        <v>263</v>
      </c>
      <c r="G311" s="510"/>
      <c r="H311" s="510">
        <f t="shared" ref="H311:M311" si="85">SUM($Q$132:$Q$140)</f>
        <v>0</v>
      </c>
      <c r="I311" s="510">
        <f t="shared" si="85"/>
        <v>0</v>
      </c>
      <c r="J311" s="510">
        <f t="shared" si="85"/>
        <v>0</v>
      </c>
      <c r="K311" s="510">
        <f t="shared" si="85"/>
        <v>0</v>
      </c>
      <c r="L311" s="510">
        <f t="shared" si="85"/>
        <v>0</v>
      </c>
      <c r="M311" s="510">
        <f t="shared" si="85"/>
        <v>0</v>
      </c>
      <c r="N311" s="510"/>
      <c r="O311" s="510"/>
      <c r="P311" s="510">
        <f>SUM($Q$132:$Q$140)</f>
        <v>0</v>
      </c>
      <c r="Q311" s="510">
        <f>SUM($Q$132:$Q$140)</f>
        <v>0</v>
      </c>
      <c r="R311" s="511">
        <f ca="1">SUM($Q$132:$Q$140)*((12-G215)/12)</f>
        <v>0</v>
      </c>
      <c r="Y311" s="501"/>
      <c r="AA311" s="476"/>
    </row>
    <row r="312" spans="3:32" ht="5.0999999999999996" customHeight="1" x14ac:dyDescent="0.2">
      <c r="C312" s="402"/>
      <c r="G312" s="510"/>
      <c r="H312" s="510"/>
      <c r="I312" s="510"/>
      <c r="J312" s="510"/>
      <c r="K312" s="510"/>
      <c r="L312" s="510"/>
      <c r="M312" s="510"/>
      <c r="N312" s="510"/>
      <c r="O312" s="510"/>
      <c r="P312" s="510"/>
      <c r="Q312" s="510"/>
      <c r="R312" s="511"/>
    </row>
    <row r="313" spans="3:32" x14ac:dyDescent="0.2">
      <c r="C313" s="402" t="s">
        <v>262</v>
      </c>
      <c r="G313" s="510"/>
      <c r="H313" s="510">
        <f t="shared" ref="H313:M313" ca="1" si="86">H308-(H310+H311)</f>
        <v>0</v>
      </c>
      <c r="I313" s="510">
        <f t="shared" ca="1" si="86"/>
        <v>0</v>
      </c>
      <c r="J313" s="510">
        <f t="shared" ca="1" si="86"/>
        <v>0</v>
      </c>
      <c r="K313" s="510">
        <f t="shared" ca="1" si="86"/>
        <v>0</v>
      </c>
      <c r="L313" s="510">
        <f t="shared" ca="1" si="86"/>
        <v>0</v>
      </c>
      <c r="M313" s="510">
        <f t="shared" ca="1" si="86"/>
        <v>0</v>
      </c>
      <c r="N313" s="510"/>
      <c r="O313" s="510"/>
      <c r="P313" s="510">
        <f ca="1">P308-(P310+P311)</f>
        <v>0</v>
      </c>
      <c r="Q313" s="510">
        <f ca="1">Q308-(Q310+Q311)</f>
        <v>0</v>
      </c>
      <c r="R313" s="511">
        <f ca="1">R308-(R310+R311)</f>
        <v>0</v>
      </c>
    </row>
    <row r="314" spans="3:32" x14ac:dyDescent="0.2">
      <c r="C314" s="402" t="s">
        <v>261</v>
      </c>
      <c r="G314" s="510"/>
      <c r="H314" s="674">
        <f t="shared" ref="H314:M314" si="87">IF($G$5=0,0,H313/$G$5)</f>
        <v>0</v>
      </c>
      <c r="I314" s="674">
        <f t="shared" si="87"/>
        <v>0</v>
      </c>
      <c r="J314" s="674">
        <f t="shared" si="87"/>
        <v>0</v>
      </c>
      <c r="K314" s="674">
        <f t="shared" si="87"/>
        <v>0</v>
      </c>
      <c r="L314" s="674">
        <f t="shared" si="87"/>
        <v>0</v>
      </c>
      <c r="M314" s="674">
        <f t="shared" si="87"/>
        <v>0</v>
      </c>
      <c r="N314" s="674"/>
      <c r="O314" s="674"/>
      <c r="P314" s="674">
        <f>IF($G$5=0,0,P313/$G$5)</f>
        <v>0</v>
      </c>
      <c r="Q314" s="674">
        <f>IF($G$5=0,0,Q313/$G$5)</f>
        <v>0</v>
      </c>
      <c r="R314" s="675">
        <f>IF($G$5=0,0,R313*(12/(12-G215))/$G$5)</f>
        <v>0</v>
      </c>
    </row>
    <row r="315" spans="3:32" x14ac:dyDescent="0.2">
      <c r="C315" s="402"/>
      <c r="R315" s="438"/>
    </row>
    <row r="316" spans="3:32" x14ac:dyDescent="0.2">
      <c r="C316" s="402" t="s">
        <v>260</v>
      </c>
      <c r="G316" s="510"/>
      <c r="H316" s="514">
        <f t="shared" ref="H316:M316" si="88">IF((H310+H311)=0,0,H308/(H310+H311))</f>
        <v>0</v>
      </c>
      <c r="I316" s="514">
        <f t="shared" si="88"/>
        <v>0</v>
      </c>
      <c r="J316" s="514">
        <f t="shared" si="88"/>
        <v>0</v>
      </c>
      <c r="K316" s="514">
        <f t="shared" si="88"/>
        <v>0</v>
      </c>
      <c r="L316" s="514">
        <f t="shared" si="88"/>
        <v>0</v>
      </c>
      <c r="M316" s="514">
        <f t="shared" si="88"/>
        <v>0</v>
      </c>
      <c r="N316" s="514"/>
      <c r="O316" s="514"/>
      <c r="P316" s="514">
        <f>IF((P310+P311)=0,0,P308/(P310+P311))</f>
        <v>0</v>
      </c>
      <c r="Q316" s="514">
        <f>IF((Q310+Q311)=0,0,Q308/(Q310+Q311))</f>
        <v>0</v>
      </c>
      <c r="R316" s="515">
        <f ca="1">IF((R310+R311)=0,0,R308/(R310+R311))</f>
        <v>0</v>
      </c>
    </row>
    <row r="317" spans="3:32" ht="12.6" x14ac:dyDescent="0.25">
      <c r="C317" s="402"/>
      <c r="G317" s="510"/>
      <c r="H317" s="516"/>
      <c r="I317" s="516"/>
      <c r="J317" s="516"/>
      <c r="K317" s="516"/>
      <c r="L317" s="516"/>
      <c r="M317" s="516"/>
      <c r="N317" s="516"/>
      <c r="O317" s="516"/>
      <c r="P317" s="516"/>
      <c r="Q317" s="516"/>
      <c r="R317" s="477"/>
      <c r="Y317" s="522"/>
      <c r="Z317" s="522"/>
      <c r="AA317" s="522"/>
      <c r="AB317" s="522"/>
      <c r="AC317" s="522"/>
      <c r="AD317" s="522"/>
      <c r="AE317" s="1168"/>
      <c r="AF317" s="522"/>
    </row>
    <row r="318" spans="3:32" ht="11.25" hidden="1" customHeight="1" x14ac:dyDescent="0.2">
      <c r="C318" s="471" t="str">
        <f t="shared" ref="C318:C323" si="89">C277</f>
        <v>0% Deferred Loan     -     FedHOME</v>
      </c>
      <c r="D318" s="421"/>
      <c r="E318" s="421"/>
      <c r="G318" s="510">
        <f t="shared" ref="G318:G323" ca="1" si="90">T277</f>
        <v>0</v>
      </c>
      <c r="H318" s="516">
        <f t="shared" ref="H318:M318" ca="1" si="91">G318*(1+$J$126)</f>
        <v>0</v>
      </c>
      <c r="I318" s="516">
        <f t="shared" ca="1" si="91"/>
        <v>0</v>
      </c>
      <c r="J318" s="516">
        <f t="shared" ca="1" si="91"/>
        <v>0</v>
      </c>
      <c r="K318" s="516">
        <f t="shared" ca="1" si="91"/>
        <v>0</v>
      </c>
      <c r="L318" s="516">
        <f t="shared" ca="1" si="91"/>
        <v>0</v>
      </c>
      <c r="M318" s="516">
        <f t="shared" ca="1" si="91"/>
        <v>0</v>
      </c>
      <c r="N318" s="516"/>
      <c r="O318" s="516"/>
      <c r="P318" s="516">
        <f ca="1">M318*(1+$J$126)</f>
        <v>0</v>
      </c>
      <c r="Q318" s="516">
        <f ca="1">P318*(1+$J$126)</f>
        <v>0</v>
      </c>
      <c r="R318" s="477">
        <f ca="1">Q318*(1+$J$126)</f>
        <v>0</v>
      </c>
    </row>
    <row r="319" spans="3:32" ht="11.25" hidden="1" customHeight="1" x14ac:dyDescent="0.2">
      <c r="C319" s="471" t="str">
        <f t="shared" si="89"/>
        <v>0% Deferred Loan 2</v>
      </c>
      <c r="D319" s="421"/>
      <c r="E319" s="421"/>
      <c r="G319" s="510">
        <f t="shared" ca="1" si="90"/>
        <v>0</v>
      </c>
      <c r="H319" s="516">
        <f t="shared" ref="H319:M319" ca="1" si="92">G319*(1+$J$127)</f>
        <v>0</v>
      </c>
      <c r="I319" s="516">
        <f t="shared" ca="1" si="92"/>
        <v>0</v>
      </c>
      <c r="J319" s="516">
        <f t="shared" ca="1" si="92"/>
        <v>0</v>
      </c>
      <c r="K319" s="516">
        <f t="shared" ca="1" si="92"/>
        <v>0</v>
      </c>
      <c r="L319" s="516">
        <f t="shared" ca="1" si="92"/>
        <v>0</v>
      </c>
      <c r="M319" s="516">
        <f t="shared" ca="1" si="92"/>
        <v>0</v>
      </c>
      <c r="N319" s="516"/>
      <c r="O319" s="516"/>
      <c r="P319" s="516">
        <f ca="1">M319*(1+$J$127)</f>
        <v>0</v>
      </c>
      <c r="Q319" s="516">
        <f ca="1">P319*(1+$J$127)</f>
        <v>0</v>
      </c>
      <c r="R319" s="477">
        <f ca="1">Q319*(1+$J$127)</f>
        <v>0</v>
      </c>
    </row>
    <row r="320" spans="3:32" ht="11.25" hidden="1" customHeight="1" x14ac:dyDescent="0.2">
      <c r="C320" s="471" t="str">
        <f t="shared" si="89"/>
        <v>0% Deferred Loan 3</v>
      </c>
      <c r="D320" s="421"/>
      <c r="E320" s="421"/>
      <c r="G320" s="510">
        <f t="shared" ca="1" si="90"/>
        <v>0</v>
      </c>
      <c r="H320" s="516">
        <f t="shared" ref="H320:M320" ca="1" si="93">G320*(1+$J$128)</f>
        <v>0</v>
      </c>
      <c r="I320" s="516">
        <f t="shared" ca="1" si="93"/>
        <v>0</v>
      </c>
      <c r="J320" s="516">
        <f t="shared" ca="1" si="93"/>
        <v>0</v>
      </c>
      <c r="K320" s="516">
        <f t="shared" ca="1" si="93"/>
        <v>0</v>
      </c>
      <c r="L320" s="516">
        <f t="shared" ca="1" si="93"/>
        <v>0</v>
      </c>
      <c r="M320" s="516">
        <f t="shared" ca="1" si="93"/>
        <v>0</v>
      </c>
      <c r="N320" s="516"/>
      <c r="O320" s="516"/>
      <c r="P320" s="516">
        <f ca="1">M320*(1+$J$128)</f>
        <v>0</v>
      </c>
      <c r="Q320" s="516">
        <f ca="1">P320*(1+$J$128)</f>
        <v>0</v>
      </c>
      <c r="R320" s="477">
        <f ca="1">Q320*(1+$J$128)</f>
        <v>0</v>
      </c>
    </row>
    <row r="321" spans="3:18" ht="11.25" hidden="1" customHeight="1" x14ac:dyDescent="0.2">
      <c r="C321" s="471" t="str">
        <f t="shared" si="89"/>
        <v xml:space="preserve">MH Interest Bearing Loan </v>
      </c>
      <c r="D321" s="421"/>
      <c r="E321" s="421"/>
      <c r="G321" s="510">
        <f t="shared" si="90"/>
        <v>0</v>
      </c>
      <c r="H321" s="516">
        <f>IF($I$129=0,0,IF($K$129=0,0,IF(Sources!$G$39="Interest Only for 30 years",G321,IF(OR(Sources!$G$39="Interest Only for 15 yrs., then 40 year Am with Balloon",Sources!$G$39="Interest Only for 15 yrs., then 30 year Am with Balloon"),IF(H$298&lt;=180,G321,$I$129+CUMPRINC($J$129/12,$K$129*12,$I$129,1,H$298-180,0)),$I$129+CUMPRINC($J$129/12,$K$129*12,$I$129,1,H$298,0)))))</f>
        <v>0</v>
      </c>
      <c r="I321" s="516">
        <f>IF($I$129=0,0,IF($K$129=0,0,IF(Sources!$G$39="Interest Only for 30 years",H321,IF(OR(Sources!$G$39="Interest Only for 15 yrs., then 40 year Am with Balloon",Sources!$G$39="Interest Only for 15 yrs., then 30 year Am with Balloon"),IF(I$298&lt;=180,H321,$I$129+CUMPRINC($J$129/12,$K$129*12,$I$129,1,I$298-180,0)),$I$129+CUMPRINC($J$129/12,$K$129*12,$I$129,1,I$298,0)))))</f>
        <v>0</v>
      </c>
      <c r="J321" s="516">
        <f>IF($I$129=0,0,IF($K$129=0,0,IF(Sources!$G$39="Interest Only for 30 years",I321,IF(OR(Sources!$G$39="Interest Only for 15 yrs., then 40 year Am with Balloon",Sources!$G$39="Interest Only for 15 yrs., then 30 year Am with Balloon"),IF(J$298&lt;=180,I321,$I$129+CUMPRINC($J$129/12,$K$129*12,$I$129,1,J$298-180,0)),$I$129+CUMPRINC($J$129/12,$K$129*12,$I$129,1,J$298,0)))))</f>
        <v>0</v>
      </c>
      <c r="K321" s="516">
        <f>IF($I$129=0,0,IF($K$129=0,0,IF(Sources!$G$39="Interest Only for 30 years",J321,IF(OR(Sources!$G$39="Interest Only for 15 yrs., then 40 year Am with Balloon",Sources!$G$39="Interest Only for 15 yrs., then 30 year Am with Balloon"),IF(K$298&lt;=180,J321,$I$129+CUMPRINC($J$129/12,$K$129*12,$I$129,1,K$298-180,0)),$I$129+CUMPRINC($J$129/12,$K$129*12,$I$129,1,K$298,0)))))</f>
        <v>0</v>
      </c>
      <c r="L321" s="516">
        <f>IF($I$129=0,0,IF($K$129=0,0,IF(Sources!$G$39="Interest Only for 30 years",K321,IF(OR(Sources!$G$39="Interest Only for 15 yrs., then 40 year Am with Balloon",Sources!$G$39="Interest Only for 15 yrs., then 30 year Am with Balloon"),IF(L$298&lt;=180,K321,$I$129+CUMPRINC($J$129/12,$K$129*12,$I$129,1,L$298-180,0)),$I$129+CUMPRINC($J$129/12,$K$129*12,$I$129,1,L$298,0)))))</f>
        <v>0</v>
      </c>
      <c r="M321" s="516">
        <f>IF($I$129=0,0,IF($K$129=0,0,IF(Sources!$G$39="Interest Only for 30 years",L321,IF(OR(Sources!$G$39="Interest Only for 15 yrs., then 40 year Am with Balloon",Sources!$G$39="Interest Only for 15 yrs., then 30 year Am with Balloon"),IF(M$298&lt;=180,L321,$I$129+CUMPRINC($J$129/12,$K$129*12,$I$129,1,M$298-180,0)),$I$129+CUMPRINC($J$129/12,$K$129*12,$I$129,1,M$298,0)))))</f>
        <v>0</v>
      </c>
      <c r="N321" s="516"/>
      <c r="O321" s="516"/>
      <c r="P321" s="516">
        <f>IF($I$129=0,0,IF($K$129=0,0,IF(Sources!$G$39="Interest Only for 30 years",M321,IF(OR(Sources!$G$39="Interest Only for 15 yrs., then 40 year Am with Balloon",Sources!$G$39="Interest Only for 15 yrs., then 30 year Am with Balloon"),IF(P$298&lt;=180,M321,$I$129+CUMPRINC($J$129/12,$K$129*12,$I$129,1,P$298-180,0)),$I$129+CUMPRINC($J$129/12,$K$129*12,$I$129,1,P$298,0)))))</f>
        <v>0</v>
      </c>
      <c r="Q321" s="516">
        <f>IF($I$129=0,0,IF($K$129=0,0,IF(Sources!$G$39="Interest Only for 30 years",P321,IF(OR(Sources!$G$39="Interest Only for 15 yrs., then 40 year Am with Balloon",Sources!$G$39="Interest Only for 15 yrs., then 30 year Am with Balloon"),IF(Q$298&lt;=180,P321,$I$129+CUMPRINC($J$129/12,$K$129*12,$I$129,1,Q$298-180,0)),$I$129+CUMPRINC($J$129/12,$K$129*12,$I$129,1,Q$298,0)))))</f>
        <v>0</v>
      </c>
      <c r="R321" s="477">
        <f>IF($I$129=0,0,IF($K$129=0,0,IF(Sources!$G$39="Interest Only for 30 years",Q321,IF(OR(Sources!$G$39="Interest Only for 15 yrs., then 40 year Am with Balloon",Sources!$G$39="Interest Only for 15 yrs., then 30 year Am with Balloon"),IF(R$298&lt;=180,Q321,$I$129+CUMPRINC($J$129/12,$K$129*12,$I$129,1,R$298-180,0)),$I$129+CUMPRINC($J$129/12,$K$129*12,$I$129,1,R$298,0)))))</f>
        <v>0</v>
      </c>
    </row>
    <row r="322" spans="3:18" ht="11.25" hidden="1" customHeight="1" x14ac:dyDescent="0.2">
      <c r="C322" s="471" t="str">
        <f t="shared" si="89"/>
        <v>MH Interest Bearing Loan #2</v>
      </c>
      <c r="D322" s="421"/>
      <c r="E322" s="421"/>
      <c r="G322" s="510">
        <f t="shared" si="90"/>
        <v>0</v>
      </c>
      <c r="H322" s="516">
        <f>IF($I$130=0,0,IF($K$130=0,0,IF(H$298&gt;$K$130*12,0,IF(Sources!$G$40="Interest Only for 30 years",G322,IF(OR(Sources!$G$40="Interest Only for 15 yrs., then 40 year Am with Balloon",Sources!$G$40="Interest Only for 15 yrs., then 30 year Am with Balloon"),IF(H$298&lt;=180,G322,$I$130+CUMPRINC($J$130/12,$K$130*12,$I$130,1,H$257-180,0)),$I$130+CUMPRINC($J$130/12,$K$130*12,$I$130,1,H$298,0))))))</f>
        <v>0</v>
      </c>
      <c r="I322" s="516">
        <f>IF($I$130=0,0,IF($K$130=0,0,IF(I$298&gt;$K$130*12,0,IF(Sources!$G$40="Interest Only for 30 years",H322,IF(OR(Sources!$G$40="Interest Only for 15 yrs., then 40 year Am with Balloon",Sources!$G$40="Interest Only for 15 yrs., then 30 year Am with Balloon"),IF(I$298&lt;=180,H322,$I$130+CUMPRINC($J$130/12,$K$130*12,$I$130,1,I$257-180,0)),$I$130+CUMPRINC($J$130/12,$K$130*12,$I$130,1,I$298,0))))))</f>
        <v>0</v>
      </c>
      <c r="J322" s="516">
        <f>IF($I$130=0,0,IF($K$130=0,0,IF(J$298&gt;$K$130*12,0,IF(Sources!$G$40="Interest Only for 30 years",I322,IF(OR(Sources!$G$40="Interest Only for 15 yrs., then 40 year Am with Balloon",Sources!$G$40="Interest Only for 15 yrs., then 30 year Am with Balloon"),IF(J$298&lt;=180,I322,$I$130+CUMPRINC($J$130/12,$K$130*12,$I$130,1,J$257-180,0)),$I$130+CUMPRINC($J$130/12,$K$130*12,$I$130,1,J$298,0))))))</f>
        <v>0</v>
      </c>
      <c r="K322" s="516">
        <f>IF($I$130=0,0,IF($K$130=0,0,IF(K$298&gt;$K$130*12,0,IF(Sources!$G$40="Interest Only for 30 years",J322,IF(OR(Sources!$G$40="Interest Only for 15 yrs., then 40 year Am with Balloon",Sources!$G$40="Interest Only for 15 yrs., then 30 year Am with Balloon"),IF(K$298&lt;=180,J322,$I$130+CUMPRINC($J$130/12,$K$130*12,$I$130,1,K$257-180,0)),$I$130+CUMPRINC($J$130/12,$K$130*12,$I$130,1,K$298,0))))))</f>
        <v>0</v>
      </c>
      <c r="L322" s="516">
        <f>IF($I$130=0,0,IF($K$130=0,0,IF(L$298&gt;$K$130*12,0,IF(Sources!$G$40="Interest Only for 30 years",K322,IF(OR(Sources!$G$40="Interest Only for 15 yrs., then 40 year Am with Balloon",Sources!$G$40="Interest Only for 15 yrs., then 30 year Am with Balloon"),IF(L$298&lt;=180,K322,$I$130+CUMPRINC($J$130/12,$K$130*12,$I$130,1,L$257-180,0)),$I$130+CUMPRINC($J$130/12,$K$130*12,$I$130,1,L$298,0))))))</f>
        <v>0</v>
      </c>
      <c r="M322" s="516">
        <f>IF($I$130=0,0,IF($K$130=0,0,IF(M$298&gt;$K$130*12,0,IF(Sources!$G$40="Interest Only for 30 years",L322,IF(OR(Sources!$G$40="Interest Only for 15 yrs., then 40 year Am with Balloon",Sources!$G$40="Interest Only for 15 yrs., then 30 year Am with Balloon"),IF(M$298&lt;=180,L322,$I$130+CUMPRINC($J$130/12,$K$130*12,$I$130,1,M$257-180,0)),$I$130+CUMPRINC($J$130/12,$K$130*12,$I$130,1,M$298,0))))))</f>
        <v>0</v>
      </c>
      <c r="N322" s="516"/>
      <c r="O322" s="516"/>
      <c r="P322" s="516">
        <f>IF($I$130=0,0,IF($K$130=0,0,IF(P$298&gt;$K$130*12,0,IF(Sources!$G$40="Interest Only for 30 years",M322,IF(OR(Sources!$G$40="Interest Only for 15 yrs., then 40 year Am with Balloon",Sources!$G$40="Interest Only for 15 yrs., then 30 year Am with Balloon"),IF(P$298&lt;=180,M322,$I$130+CUMPRINC($J$130/12,$K$130*12,$I$130,1,P$257-180,0)),$I$130+CUMPRINC($J$130/12,$K$130*12,$I$130,1,P$298,0))))))</f>
        <v>0</v>
      </c>
      <c r="Q322" s="516">
        <f>IF($I$130=0,0,IF($K$130=0,0,IF(Q$298&gt;$K$130*12,0,IF(Sources!$G$40="Interest Only for 30 years",P322,IF(OR(Sources!$G$40="Interest Only for 15 yrs., then 40 year Am with Balloon",Sources!$G$40="Interest Only for 15 yrs., then 30 year Am with Balloon"),IF(Q$298&lt;=180,P322,$I$130+CUMPRINC($J$130/12,$K$130*12,$I$130,1,Q$257-180,0)),$I$130+CUMPRINC($J$130/12,$K$130*12,$I$130,1,Q$298,0))))))</f>
        <v>0</v>
      </c>
      <c r="R322" s="477">
        <f>IF($I$130=0,0,IF($K$130=0,0,IF(R$298&gt;$K$130*12,0,IF(Sources!$G$40="Interest Only for 30 years",Q322,IF(OR(Sources!$G$40="Interest Only for 15 yrs., then 40 year Am with Balloon",Sources!$G$40="Interest Only for 15 yrs., then 30 year Am with Balloon"),IF(R$298&lt;=180,Q322,$I$130+CUMPRINC($J$130/12,$K$130*12,$I$130,1,R$257-180,0)),$I$130+CUMPRINC($J$130/12,$K$130*12,$I$130,1,R$298,0))))))</f>
        <v>0</v>
      </c>
    </row>
    <row r="323" spans="3:18" ht="11.25" hidden="1" customHeight="1" x14ac:dyDescent="0.2">
      <c r="C323" s="471" t="str">
        <f t="shared" si="89"/>
        <v>MH Interest Bearing Loan #3</v>
      </c>
      <c r="D323" s="421"/>
      <c r="E323" s="421"/>
      <c r="G323" s="510">
        <f t="shared" si="90"/>
        <v>0</v>
      </c>
      <c r="H323" s="516">
        <f>IF($G$323=0,0,IF($K$131=0,0,IF(H$298&gt;$K$131*12,0,IF(Sources!$G$41="Interest Only for 30 years",G323,IF(OR(Sources!$G$41="Interest Only for 15 yrs., then 40 year Am with Balloon",Sources!$G$41="Interest Only for 15 yrs., then 30 year Am with Balloon"),IF(H$298&lt;=180,G323,$I$131+CUMPRINC($J$131/12,$K$131*12,$I$131,1,H$298-180,0)),$I$131+CUMPRINC($J$131/12,$K$131*12,$I$131,1,H$298,0))))))</f>
        <v>0</v>
      </c>
      <c r="I323" s="516">
        <f>IF($G$323=0,0,IF($K$131=0,0,IF(I$298&gt;$K$131*12,0,IF(Sources!$G$41="Interest Only for 30 years",H323,IF(OR(Sources!$G$41="Interest Only for 15 yrs., then 40 year Am with Balloon",Sources!$G$41="Interest Only for 15 yrs., then 30 year Am with Balloon"),IF(I$298&lt;=180,H323,$I$131+CUMPRINC($J$131/12,$K$131*12,$I$131,1,I$298-180,0)),$I$131+CUMPRINC($J$131/12,$K$131*12,$I$131,1,I$298,0))))))</f>
        <v>0</v>
      </c>
      <c r="J323" s="516">
        <f>IF($G$323=0,0,IF($K$131=0,0,IF(J$298&gt;$K$131*12,0,IF(Sources!$G$41="Interest Only for 30 years",I323,IF(OR(Sources!$G$41="Interest Only for 15 yrs., then 40 year Am with Balloon",Sources!$G$41="Interest Only for 15 yrs., then 30 year Am with Balloon"),IF(J$298&lt;=180,I323,$I$131+CUMPRINC($J$131/12,$K$131*12,$I$131,1,J$298-180,0)),$I$131+CUMPRINC($J$131/12,$K$131*12,$I$131,1,J$298,0))))))</f>
        <v>0</v>
      </c>
      <c r="K323" s="516">
        <f>IF($G$323=0,0,IF($K$131=0,0,IF(K$298&gt;$K$131*12,0,IF(Sources!$G$41="Interest Only for 30 years",J323,IF(OR(Sources!$G$41="Interest Only for 15 yrs., then 40 year Am with Balloon",Sources!$G$41="Interest Only for 15 yrs., then 30 year Am with Balloon"),IF(K$298&lt;=180,J323,$I$131+CUMPRINC($J$131/12,$K$131*12,$I$131,1,K$298-180,0)),$I$131+CUMPRINC($J$131/12,$K$131*12,$I$131,1,K$298,0))))))</f>
        <v>0</v>
      </c>
      <c r="L323" s="516">
        <f>IF($G$323=0,0,IF($K$131=0,0,IF(L$298&gt;$K$131*12,0,IF(Sources!$G$41="Interest Only for 30 years",K323,IF(OR(Sources!$G$41="Interest Only for 15 yrs., then 40 year Am with Balloon",Sources!$G$41="Interest Only for 15 yrs., then 30 year Am with Balloon"),IF(L$298&lt;=180,K323,$I$131+CUMPRINC($J$131/12,$K$131*12,$I$131,1,L$298-180,0)),$I$131+CUMPRINC($J$131/12,$K$131*12,$I$131,1,L$298,0))))))</f>
        <v>0</v>
      </c>
      <c r="M323" s="516">
        <f>IF($G$323=0,0,IF($K$131=0,0,IF(M$298&gt;$K$131*12,0,IF(Sources!$G$41="Interest Only for 30 years",L323,IF(OR(Sources!$G$41="Interest Only for 15 yrs., then 40 year Am with Balloon",Sources!$G$41="Interest Only for 15 yrs., then 30 year Am with Balloon"),IF(M$298&lt;=180,L323,$I$131+CUMPRINC($J$131/12,$K$131*12,$I$131,1,M$298-180,0)),$I$131+CUMPRINC($J$131/12,$K$131*12,$I$131,1,M$298,0))))))</f>
        <v>0</v>
      </c>
      <c r="N323" s="516"/>
      <c r="O323" s="516"/>
      <c r="P323" s="516">
        <f>IF($G$323=0,0,IF($K$131=0,0,IF(P$298&gt;$K$131*12,0,IF(Sources!$G$41="Interest Only for 30 years",M323,IF(OR(Sources!$G$41="Interest Only for 15 yrs., then 40 year Am with Balloon",Sources!$G$41="Interest Only for 15 yrs., then 30 year Am with Balloon"),IF(P$298&lt;=180,M323,$I$131+CUMPRINC($J$131/12,$K$131*12,$I$131,1,P$298-180,0)),$I$131+CUMPRINC($J$131/12,$K$131*12,$I$131,1,P$298,0))))))</f>
        <v>0</v>
      </c>
      <c r="Q323" s="516">
        <f>IF($G$323=0,0,IF($K$131=0,0,IF(Q$298&gt;$K$131*12,0,IF(Sources!$G$41="Interest Only for 30 years",P323,IF(OR(Sources!$G$41="Interest Only for 15 yrs., then 40 year Am with Balloon",Sources!$G$41="Interest Only for 15 yrs., then 30 year Am with Balloon"),IF(Q$298&lt;=180,P323,$I$131+CUMPRINC($J$131/12,$K$131*12,$I$131,1,Q$298-180,0)),$I$131+CUMPRINC($J$131/12,$K$131*12,$I$131,1,Q$298,0))))))</f>
        <v>0</v>
      </c>
      <c r="R323" s="477">
        <f>IF($G$323=0,0,IF($K$131=0,0,IF(R$298&gt;$K$131*12,0,IF(Sources!$G$41="Interest Only for 30 years",Q323,IF(OR(Sources!$G$41="Interest Only for 15 yrs., then 40 year Am with Balloon",Sources!$G$41="Interest Only for 15 yrs., then 30 year Am with Balloon"),IF(R$298&lt;=180,Q323,$I$131+CUMPRINC($J$131/12,$K$131*12,$I$131,1,R$298-180,0)),$I$131+CUMPRINC($J$131/12,$K$131*12,$I$131,1,R$298,0))))))</f>
        <v>0</v>
      </c>
    </row>
    <row r="324" spans="3:18" x14ac:dyDescent="0.2">
      <c r="C324" s="402" t="s">
        <v>259</v>
      </c>
      <c r="G324" s="516">
        <f t="shared" ref="G324:M324" ca="1" si="94">SUM(G318:G323)</f>
        <v>0</v>
      </c>
      <c r="H324" s="516">
        <f t="shared" ca="1" si="94"/>
        <v>0</v>
      </c>
      <c r="I324" s="516">
        <f t="shared" ca="1" si="94"/>
        <v>0</v>
      </c>
      <c r="J324" s="516">
        <f t="shared" ca="1" si="94"/>
        <v>0</v>
      </c>
      <c r="K324" s="516">
        <f t="shared" ca="1" si="94"/>
        <v>0</v>
      </c>
      <c r="L324" s="516">
        <f t="shared" ca="1" si="94"/>
        <v>0</v>
      </c>
      <c r="M324" s="516">
        <f t="shared" ca="1" si="94"/>
        <v>0</v>
      </c>
      <c r="N324" s="516"/>
      <c r="O324" s="516"/>
      <c r="P324" s="516">
        <f ca="1">SUM(P318:P323)</f>
        <v>0</v>
      </c>
      <c r="Q324" s="516">
        <f ca="1">SUM(Q318:Q323)</f>
        <v>0</v>
      </c>
      <c r="R324" s="477">
        <f ca="1">SUM(R318:R323)</f>
        <v>0</v>
      </c>
    </row>
    <row r="325" spans="3:18" hidden="1" x14ac:dyDescent="0.2">
      <c r="C325" s="402"/>
      <c r="G325" s="510"/>
      <c r="H325" s="510"/>
      <c r="I325" s="510"/>
      <c r="J325" s="510"/>
      <c r="K325" s="510"/>
      <c r="L325" s="510"/>
      <c r="M325" s="510"/>
      <c r="N325" s="510"/>
      <c r="O325" s="510"/>
      <c r="P325" s="510"/>
      <c r="Q325" s="510"/>
      <c r="R325" s="511"/>
    </row>
    <row r="326" spans="3:18" hidden="1" x14ac:dyDescent="0.2">
      <c r="C326" s="471" t="str">
        <f t="shared" ref="C326:C331" si="95">C285</f>
        <v>AHP Subsidized Advance</v>
      </c>
      <c r="D326" s="421"/>
      <c r="E326" s="421"/>
      <c r="G326" s="510">
        <f t="shared" ref="G326:G331" si="96">T285</f>
        <v>0</v>
      </c>
      <c r="H326" s="516">
        <f>IF($I132=0,0,IF(H$298&gt;$K132*12,0,$I132+CUMPRINC($J132/12,$K132*12,$I132,1,H$298,0)))</f>
        <v>0</v>
      </c>
      <c r="I326" s="516">
        <f t="shared" ref="I326:M326" si="97">IF($I132=0,0,IF(I$298&gt;$K132*12,0,$I132+CUMPRINC($J132/12,$K132*12,$I132,1,I$298,0)))</f>
        <v>0</v>
      </c>
      <c r="J326" s="516">
        <f t="shared" si="97"/>
        <v>0</v>
      </c>
      <c r="K326" s="516">
        <f t="shared" si="97"/>
        <v>0</v>
      </c>
      <c r="L326" s="516">
        <f t="shared" si="97"/>
        <v>0</v>
      </c>
      <c r="M326" s="516">
        <f t="shared" si="97"/>
        <v>0</v>
      </c>
      <c r="N326" s="516"/>
      <c r="O326" s="516"/>
      <c r="P326" s="516">
        <f>IF($I132=0,0,IF(P$298&gt;$K132*12,0,$I132+CUMPRINC($J132/12,$K132*12,$I132,1,P$298,0)))</f>
        <v>0</v>
      </c>
      <c r="Q326" s="516">
        <f>IF($I132=0,0,IF(Q$298&gt;$K132*12,0,$I132+CUMPRINC($J132/12,$K132*12,$I132,1,Q$298,0)))</f>
        <v>0</v>
      </c>
      <c r="R326" s="477">
        <f>IF($I132=0,0,IF(R$298&gt;$K132*12,0,$I132+CUMPRINC($J132/12,$K132*12,$I132,1,R$298,0)))</f>
        <v>0</v>
      </c>
    </row>
    <row r="327" spans="3:18" hidden="1" x14ac:dyDescent="0.2">
      <c r="C327" s="471" t="str">
        <f t="shared" si="95"/>
        <v>City FEDHOME*</v>
      </c>
      <c r="D327" s="421"/>
      <c r="E327" s="421"/>
      <c r="G327" s="510">
        <f t="shared" si="96"/>
        <v>0</v>
      </c>
      <c r="H327" s="516">
        <f>IF($I133=0,0,IF(H$298&gt;$K133*12,"",IF($J133=0,G327-$M133,IF($M133=0,G327*(1+$J133),$I133+CUMPRINC($J133/12,$K133*12,$I133,1,H$298,0)))))</f>
        <v>0</v>
      </c>
      <c r="I327" s="516">
        <f t="shared" ref="H327:M331" si="98">IF($I133=0,0,IF(I$298&gt;$K133*12,"",IF($J133=0,H327-$M133,IF($M133=0,H327*(1+$J133),$I133+CUMPRINC($J133/12,$K133*12,$I133,1,I$298,0)))))</f>
        <v>0</v>
      </c>
      <c r="J327" s="516">
        <f t="shared" si="98"/>
        <v>0</v>
      </c>
      <c r="K327" s="516">
        <f t="shared" si="98"/>
        <v>0</v>
      </c>
      <c r="L327" s="516">
        <f t="shared" si="98"/>
        <v>0</v>
      </c>
      <c r="M327" s="516">
        <f t="shared" si="98"/>
        <v>0</v>
      </c>
      <c r="N327" s="516"/>
      <c r="O327" s="516"/>
      <c r="P327" s="516">
        <f>IF($I133=0,0,IF(P$298&gt;$K133*12,"",IF($J133=0,M327-$M133,IF($M133=0,M327*(1+$J133),$I133+CUMPRINC($J133/12,$K133*12,$I133,1,P$298,0)))))</f>
        <v>0</v>
      </c>
      <c r="Q327" s="516">
        <f>IF($I133=0,0,IF(Q$298&gt;$K133*12,"",IF($J133=0,P327-$M133,IF($M133=0,P327*(1+$J133),$I133+CUMPRINC($J133/12,$K133*12,$I133,1,Q$298,0)))))</f>
        <v>0</v>
      </c>
      <c r="R327" s="477">
        <f>IF($I133=0,0,IF(R$298&gt;$K133*12,"",IF($J133=0,Q327-$M133*(1-$H$216/12),IF($M133=0,Q327*$J133*(1-$H$216/12)+Q327,$I133+CUMPRINC($J133/12,$K133*12,$I133,1,R$298,0)))))</f>
        <v>0</v>
      </c>
    </row>
    <row r="328" spans="3:18" hidden="1" x14ac:dyDescent="0.2">
      <c r="C328" s="471" t="str">
        <f t="shared" si="95"/>
        <v>AHP Capital Advance*</v>
      </c>
      <c r="D328" s="421"/>
      <c r="E328" s="421"/>
      <c r="G328" s="510">
        <f t="shared" si="96"/>
        <v>0</v>
      </c>
      <c r="H328" s="516">
        <f t="shared" si="98"/>
        <v>0</v>
      </c>
      <c r="I328" s="516">
        <f t="shared" si="98"/>
        <v>0</v>
      </c>
      <c r="J328" s="516">
        <f t="shared" si="98"/>
        <v>0</v>
      </c>
      <c r="K328" s="516">
        <f t="shared" si="98"/>
        <v>0</v>
      </c>
      <c r="L328" s="516">
        <f t="shared" si="98"/>
        <v>0</v>
      </c>
      <c r="M328" s="516">
        <f t="shared" si="98"/>
        <v>0</v>
      </c>
      <c r="N328" s="516"/>
      <c r="O328" s="516"/>
      <c r="P328" s="516">
        <f>IF($I134=0,0,IF(P$298&gt;$K134*12,"",IF($J134=0,M328-$M134,IF($M134=0,M328*(1+$J134),$I134+CUMPRINC($J134/12,$K134*12,$I134,1,P$298,0)))))</f>
        <v>0</v>
      </c>
      <c r="Q328" s="516">
        <f>IF($I134=0,0,IF(Q$298&gt;$K134*12,"",IF($J134=0,P328-$M134,IF($M134=0,P328*(1+$J134),$I134+CUMPRINC($J134/12,$K134*12,$I134,1,Q$298,0)))))</f>
        <v>0</v>
      </c>
      <c r="R328" s="477">
        <f>IF($I134=0,0,IF(R$298&gt;$K134*12,"",IF($J134=0,Q328-$M134*(1-$H$216/12),IF($M134=0,Q328*$J134*(1-$H$216/12)+Q328,$I134+CUMPRINC($J134/12,$K134*12,$I134,1,R$298,0)))))</f>
        <v>0</v>
      </c>
    </row>
    <row r="329" spans="3:18" hidden="1" x14ac:dyDescent="0.2">
      <c r="C329" s="471" t="str">
        <f t="shared" si="95"/>
        <v>TIF Loan*</v>
      </c>
      <c r="D329" s="421"/>
      <c r="E329" s="421"/>
      <c r="G329" s="510">
        <f t="shared" si="96"/>
        <v>0</v>
      </c>
      <c r="H329" s="516">
        <f t="shared" si="98"/>
        <v>0</v>
      </c>
      <c r="I329" s="516">
        <f t="shared" si="98"/>
        <v>0</v>
      </c>
      <c r="J329" s="516">
        <f t="shared" si="98"/>
        <v>0</v>
      </c>
      <c r="K329" s="516">
        <f t="shared" si="98"/>
        <v>0</v>
      </c>
      <c r="L329" s="516">
        <f t="shared" si="98"/>
        <v>0</v>
      </c>
      <c r="M329" s="516">
        <f t="shared" si="98"/>
        <v>0</v>
      </c>
      <c r="N329" s="516"/>
      <c r="O329" s="516"/>
      <c r="P329" s="516">
        <f>IF($I135=0,0,IF(P$298&gt;$K135*12,"",IF($J135=0,M329-$M135,IF($M135=0,M329*(1+$J135),$I135+CUMPRINC($J135/12,$K135*12,$I135,1,P$298,0)))))</f>
        <v>0</v>
      </c>
      <c r="Q329" s="516">
        <f>IF($I135=0,0,IF(Q$298&gt;$K135*12,"",IF($J135=0,P329-$M135,IF($M135=0,P329*(1+$J135),$I135+CUMPRINC($J135/12,$K135*12,$I135,1,Q$298,0)))))</f>
        <v>0</v>
      </c>
      <c r="R329" s="477">
        <f>IF($I135=0,0,IF(R$298&gt;$K135*12,"",IF($J135=0,Q329-$M135*(1-$H$216/12),IF($M135=0,Q329*$J135*(1-$H$216/12)+Q329,$I135+CUMPRINC($J135/12,$K135*12,$I135,1,R$298,0)))))</f>
        <v>0</v>
      </c>
    </row>
    <row r="330" spans="3:18" hidden="1" x14ac:dyDescent="0.2">
      <c r="C330" s="471" t="str">
        <f t="shared" si="95"/>
        <v xml:space="preserve"> </v>
      </c>
      <c r="D330" s="421"/>
      <c r="E330" s="421"/>
      <c r="G330" s="510">
        <f t="shared" si="96"/>
        <v>0</v>
      </c>
      <c r="H330" s="516">
        <f t="shared" si="98"/>
        <v>0</v>
      </c>
      <c r="I330" s="516">
        <f t="shared" si="98"/>
        <v>0</v>
      </c>
      <c r="J330" s="516">
        <f t="shared" si="98"/>
        <v>0</v>
      </c>
      <c r="K330" s="516">
        <f t="shared" si="98"/>
        <v>0</v>
      </c>
      <c r="L330" s="516">
        <f t="shared" si="98"/>
        <v>0</v>
      </c>
      <c r="M330" s="516">
        <f t="shared" si="98"/>
        <v>0</v>
      </c>
      <c r="N330" s="516"/>
      <c r="O330" s="516"/>
      <c r="P330" s="516">
        <f>IF($I136=0,0,IF(P$298&gt;$K136*12,"",IF($J136=0,M330-$M136,IF($M136=0,M330*(1+$J136),$I136+CUMPRINC($J136/12,$K136*12,$I136,1,P$298,0)))))</f>
        <v>0</v>
      </c>
      <c r="Q330" s="516">
        <f>IF($I136=0,0,IF(Q$298&gt;$K136*12,"",IF($J136=0,P330-$M136,IF($M136=0,P330*(1+$J136),$I136+CUMPRINC($J136/12,$K136*12,$I136,1,Q$298,0)))))</f>
        <v>0</v>
      </c>
      <c r="R330" s="477">
        <f>IF($I136=0,0,IF(R$298&gt;$K136*12,"",IF($J136=0,Q330-$M136*(1-$H$216/12),IF($M136=0,Q330*$J136*(1-$H$216/12)+Q330,$I136+CUMPRINC($J136/12,$K136*12,$I136,1,R$298,0)))))</f>
        <v>0</v>
      </c>
    </row>
    <row r="331" spans="3:18" hidden="1" x14ac:dyDescent="0.2">
      <c r="C331" s="471" t="str">
        <f t="shared" si="95"/>
        <v xml:space="preserve"> </v>
      </c>
      <c r="D331" s="421"/>
      <c r="E331" s="421"/>
      <c r="G331" s="510">
        <f t="shared" si="96"/>
        <v>0</v>
      </c>
      <c r="H331" s="516">
        <f t="shared" si="98"/>
        <v>0</v>
      </c>
      <c r="I331" s="516">
        <f t="shared" si="98"/>
        <v>0</v>
      </c>
      <c r="J331" s="516">
        <f t="shared" si="98"/>
        <v>0</v>
      </c>
      <c r="K331" s="516">
        <f t="shared" si="98"/>
        <v>0</v>
      </c>
      <c r="L331" s="516">
        <f t="shared" si="98"/>
        <v>0</v>
      </c>
      <c r="M331" s="516">
        <f t="shared" si="98"/>
        <v>0</v>
      </c>
      <c r="N331" s="516"/>
      <c r="O331" s="516"/>
      <c r="P331" s="516">
        <f>IF($I137=0,0,IF(P$298&gt;$K137*12,"",IF($J137=0,M331-$M137,IF($M137=0,M331*(1+$J137),$I137+CUMPRINC($J137/12,$K137*12,$I137,1,P$298,0)))))</f>
        <v>0</v>
      </c>
      <c r="Q331" s="516">
        <f>IF($I137=0,0,IF(Q$298&gt;$K137*12,"",IF($J137=0,P331-$M137,IF($M137=0,P331*(1+$J137),$I137+CUMPRINC($J137/12,$K137*12,$I137,1,Q$298,0)))))</f>
        <v>0</v>
      </c>
      <c r="R331" s="477">
        <f>IF($I137=0,0,IF(R$298&gt;$K137*12,"",IF($J137=0,Q331-$M137*(1-$H$216/12),IF($M137=0,Q331*$J137*(1-$H$216/12)+Q331,$I137+CUMPRINC($J137/12,$K137*12,$I137,1,R$298,0)))))</f>
        <v>0</v>
      </c>
    </row>
    <row r="332" spans="3:18" x14ac:dyDescent="0.2">
      <c r="C332" s="402" t="s">
        <v>258</v>
      </c>
      <c r="G332" s="510">
        <f t="shared" ref="G332:M332" si="99">SUM(G326:G331)</f>
        <v>0</v>
      </c>
      <c r="H332" s="510">
        <f t="shared" si="99"/>
        <v>0</v>
      </c>
      <c r="I332" s="510">
        <f t="shared" si="99"/>
        <v>0</v>
      </c>
      <c r="J332" s="510">
        <f t="shared" si="99"/>
        <v>0</v>
      </c>
      <c r="K332" s="510">
        <f t="shared" si="99"/>
        <v>0</v>
      </c>
      <c r="L332" s="510">
        <f t="shared" si="99"/>
        <v>0</v>
      </c>
      <c r="M332" s="510">
        <f t="shared" si="99"/>
        <v>0</v>
      </c>
      <c r="N332" s="510"/>
      <c r="O332" s="510"/>
      <c r="P332" s="510">
        <f>SUM(P326:P331)</f>
        <v>0</v>
      </c>
      <c r="Q332" s="510">
        <f>SUM(Q326:Q331)</f>
        <v>0</v>
      </c>
      <c r="R332" s="511">
        <f>SUM(R326:R331)</f>
        <v>0</v>
      </c>
    </row>
    <row r="333" spans="3:18" x14ac:dyDescent="0.2">
      <c r="C333" s="402"/>
      <c r="G333" s="510"/>
      <c r="H333" s="510"/>
      <c r="I333" s="510"/>
      <c r="J333" s="510"/>
      <c r="K333" s="510"/>
      <c r="L333" s="510"/>
      <c r="M333" s="510"/>
      <c r="N333" s="510"/>
      <c r="O333" s="510"/>
      <c r="P333" s="510"/>
      <c r="Q333" s="510"/>
      <c r="R333" s="511"/>
    </row>
    <row r="334" spans="3:18" x14ac:dyDescent="0.2">
      <c r="C334" s="409" t="s">
        <v>257</v>
      </c>
      <c r="D334" s="412"/>
      <c r="E334" s="412"/>
      <c r="F334" s="412"/>
      <c r="G334" s="517">
        <f ca="1">T293</f>
        <v>0</v>
      </c>
      <c r="H334" s="517">
        <f t="shared" ref="H334:M334" ca="1" si="100">IF(H313&lt;0,G334*1.015+H313,G334*1.015)</f>
        <v>0</v>
      </c>
      <c r="I334" s="517">
        <f t="shared" ca="1" si="100"/>
        <v>0</v>
      </c>
      <c r="J334" s="517">
        <f t="shared" ca="1" si="100"/>
        <v>0</v>
      </c>
      <c r="K334" s="517">
        <f t="shared" ca="1" si="100"/>
        <v>0</v>
      </c>
      <c r="L334" s="517">
        <f t="shared" ca="1" si="100"/>
        <v>0</v>
      </c>
      <c r="M334" s="517">
        <f t="shared" ca="1" si="100"/>
        <v>0</v>
      </c>
      <c r="N334" s="517"/>
      <c r="O334" s="517"/>
      <c r="P334" s="517">
        <f ca="1">IF(P313&lt;0,M334*1.015+P313,M334*1.015)</f>
        <v>0</v>
      </c>
      <c r="Q334" s="517">
        <f ca="1">IF(Q313&lt;0,P334*1.015+Q313,P334*1.015)</f>
        <v>0</v>
      </c>
      <c r="R334" s="518">
        <f ca="1">IF(R313&lt;0,Q334*1.015+R313,Q334*1.015)</f>
        <v>0</v>
      </c>
    </row>
    <row r="337" spans="1:32" s="522" customFormat="1" ht="24" customHeight="1" x14ac:dyDescent="0.25">
      <c r="A337" s="521"/>
      <c r="B337" s="521"/>
      <c r="C337" s="397"/>
      <c r="D337" s="397"/>
      <c r="E337" s="397"/>
      <c r="F337" s="397"/>
      <c r="G337" s="510"/>
      <c r="H337" s="510"/>
      <c r="I337" s="510"/>
      <c r="J337" s="510"/>
      <c r="K337" s="510"/>
      <c r="L337" s="510"/>
      <c r="M337" s="510"/>
      <c r="N337" s="510"/>
      <c r="O337" s="510"/>
      <c r="P337" s="510"/>
      <c r="Q337" s="510"/>
      <c r="R337" s="397"/>
      <c r="S337" s="397"/>
      <c r="T337" s="397"/>
      <c r="U337" s="397"/>
      <c r="V337" s="397"/>
      <c r="W337" s="397"/>
      <c r="Y337" s="397"/>
      <c r="Z337" s="397"/>
      <c r="AA337" s="397"/>
      <c r="AB337" s="397"/>
      <c r="AC337" s="397"/>
      <c r="AD337" s="397"/>
      <c r="AE337" s="636"/>
      <c r="AF337" s="397"/>
    </row>
    <row r="346" spans="1:32" outlineLevel="1" x14ac:dyDescent="0.2"/>
    <row r="347" spans="1:32" outlineLevel="1" x14ac:dyDescent="0.2"/>
    <row r="364" outlineLevel="2" x14ac:dyDescent="0.2"/>
    <row r="365" outlineLevel="2" x14ac:dyDescent="0.2"/>
    <row r="366" outlineLevel="1" x14ac:dyDescent="0.2"/>
    <row r="367" outlineLevel="1" x14ac:dyDescent="0.2"/>
    <row r="368" outlineLevel="1" x14ac:dyDescent="0.2"/>
    <row r="372" outlineLevel="1" x14ac:dyDescent="0.2"/>
    <row r="373" outlineLevel="1" x14ac:dyDescent="0.2"/>
    <row r="374" outlineLevel="1" x14ac:dyDescent="0.2"/>
    <row r="375" outlineLevel="1" x14ac:dyDescent="0.2"/>
    <row r="376" outlineLevel="1" x14ac:dyDescent="0.2"/>
    <row r="377" outlineLevel="1" x14ac:dyDescent="0.2"/>
    <row r="378" outlineLevel="1" x14ac:dyDescent="0.2"/>
  </sheetData>
  <sheetProtection algorithmName="SHA-512" hashValue="oPgPRAkikM4VFlb1Uvb0X8QHeYboItho2GuWkJ1dyJmmuKuyZvUSHMEQZNYuS6rOS1oAmUt1Kz2lQqIpaWjndA==" saltValue="4tukTNWjZAQ/nLAdycrLYw==" spinCount="100000" sheet="1" objects="1" scenarios="1"/>
  <mergeCells count="10">
    <mergeCell ref="V231:W231"/>
    <mergeCell ref="J183:K183"/>
    <mergeCell ref="J187:K187"/>
    <mergeCell ref="J184:K184"/>
    <mergeCell ref="X6:AA9"/>
    <mergeCell ref="Y90:AD90"/>
    <mergeCell ref="W62:W63"/>
    <mergeCell ref="W64:W65"/>
    <mergeCell ref="W66:W67"/>
    <mergeCell ref="Y15:AA15"/>
  </mergeCells>
  <conditionalFormatting sqref="D153:M177">
    <cfRule type="expression" dxfId="7" priority="30">
      <formula>AND($D153&lt;&gt;"",$D153&lt;&gt;$D152)</formula>
    </cfRule>
  </conditionalFormatting>
  <conditionalFormatting sqref="P109">
    <cfRule type="expression" dxfId="6" priority="3">
      <formula>$P$109&lt;$P$99</formula>
    </cfRule>
  </conditionalFormatting>
  <conditionalFormatting sqref="U107">
    <cfRule type="notContainsBlanks" dxfId="4" priority="5">
      <formula>LEN(TRIM(U107))&gt;0</formula>
    </cfRule>
  </conditionalFormatting>
  <conditionalFormatting sqref="X91:AD123">
    <cfRule type="expression" dxfId="3" priority="7">
      <formula>$T$80&lt;1</formula>
    </cfRule>
  </conditionalFormatting>
  <conditionalFormatting sqref="X94:AD123">
    <cfRule type="expression" dxfId="2" priority="9">
      <formula>$AD94&lt;&gt;""</formula>
    </cfRule>
  </conditionalFormatting>
  <conditionalFormatting sqref="Y46:Z46">
    <cfRule type="expression" dxfId="1" priority="1">
      <formula>AND(OR($Y46&lt;$Y$14,$Y46=$Y$14),OR(#REF!&gt;$Y$14,#REF!&gt;$Y$14))</formula>
    </cfRule>
  </conditionalFormatting>
  <conditionalFormatting sqref="Y17:AA18 Y19:Z45 AA19:AA46">
    <cfRule type="expression" dxfId="0" priority="2">
      <formula>AND(OR($Y17&lt;$Y$14,$Y17=$Y$14),OR($Y18&gt;$Y$14,$Y18&gt;$Y$14))</formula>
    </cfRule>
  </conditionalFormatting>
  <dataValidations count="2">
    <dataValidation type="list" allowBlank="1" showInputMessage="1" showErrorMessage="1" sqref="X229" xr:uid="{00000000-0002-0000-1B00-000000000000}">
      <formula1>"10,12,15,Other"</formula1>
    </dataValidation>
    <dataValidation type="list" errorStyle="warning" showInputMessage="1" showErrorMessage="1" errorTitle="SmartDox" error="The value you entered for the dropdown is not valid." sqref="F83:F88 F78:F81 X90 X86 F92:F99 F90" xr:uid="{00000000-0002-0000-1B00-000001000000}">
      <formula1>SD_D_AllDEVFundingSourcesForSmartDox_Name</formula1>
    </dataValidation>
  </dataValidations>
  <printOptions horizontalCentered="1" verticalCentered="1"/>
  <pageMargins left="0" right="0" top="0" bottom="0" header="0.5" footer="0.5"/>
  <pageSetup scale="73" fitToHeight="4" orientation="landscape" r:id="rId1"/>
  <headerFooter alignWithMargins="0"/>
  <rowBreaks count="3" manualBreakCount="3">
    <brk id="69" min="2" max="22" man="1"/>
    <brk id="146" min="2" max="22" man="1"/>
    <brk id="212" min="2" max="2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8" id="{CA384B08-60E0-4945-B47A-418810DCB76F}">
            <xm:f>'Project Information'!$L$4="No"</xm:f>
            <x14:dxf>
              <font>
                <color theme="0"/>
              </font>
              <fill>
                <patternFill>
                  <bgColor theme="0"/>
                </patternFill>
              </fill>
              <border>
                <left/>
                <right/>
                <top/>
                <bottom/>
                <vertical/>
                <horizontal/>
              </border>
            </x14:dxf>
          </x14:cfRule>
          <xm:sqref>S136:W144</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
  <dimension ref="A1:CE70"/>
  <sheetViews>
    <sheetView zoomScale="90" zoomScaleNormal="90" zoomScaleSheetLayoutView="120" workbookViewId="0">
      <selection activeCell="G43" sqref="G43:I44"/>
    </sheetView>
  </sheetViews>
  <sheetFormatPr defaultRowHeight="10.199999999999999" x14ac:dyDescent="0.2"/>
  <cols>
    <col min="1" max="1" width="17.88671875" style="295" customWidth="1"/>
    <col min="2" max="2" width="9.44140625" style="999" bestFit="1" customWidth="1"/>
    <col min="3" max="3" width="3.6640625" style="999" customWidth="1"/>
    <col min="4" max="4" width="10.6640625" style="999" customWidth="1"/>
    <col min="5" max="5" width="3.6640625" style="999" customWidth="1"/>
    <col min="6" max="6" width="10.6640625" style="999" customWidth="1"/>
    <col min="7" max="7" width="3.6640625" style="999" customWidth="1"/>
    <col min="8" max="8" width="10.6640625" style="999" customWidth="1"/>
    <col min="9" max="9" width="3.6640625" style="999" customWidth="1"/>
    <col min="10" max="10" width="6.88671875" style="999" customWidth="1"/>
    <col min="11" max="11" width="3.6640625" style="999" customWidth="1"/>
    <col min="12" max="12" width="10.6640625" style="999" customWidth="1"/>
    <col min="13" max="13" width="3.6640625" style="999" customWidth="1"/>
    <col min="14" max="14" width="10.6640625" style="999" customWidth="1"/>
    <col min="15" max="15" width="3.6640625" style="999" customWidth="1"/>
    <col min="16" max="16" width="10.6640625" style="999" customWidth="1"/>
    <col min="17" max="17" width="3.6640625" style="999" customWidth="1"/>
    <col min="18" max="18" width="10.6640625" style="999" customWidth="1"/>
    <col min="19" max="19" width="3.6640625" style="999" customWidth="1"/>
    <col min="20" max="20" width="10.6640625" style="999" customWidth="1"/>
    <col min="21" max="21" width="3.6640625" style="999" customWidth="1"/>
    <col min="22" max="22" width="10.6640625" style="999" customWidth="1"/>
    <col min="23" max="23" width="3.6640625" style="999" customWidth="1"/>
    <col min="24" max="24" width="10.6640625" style="999" customWidth="1"/>
    <col min="25" max="25" width="3.6640625" style="999" customWidth="1"/>
    <col min="26" max="26" width="4.6640625" style="999" customWidth="1"/>
    <col min="27" max="27" width="7.6640625" style="999" customWidth="1"/>
    <col min="28" max="28" width="1.6640625" style="999" customWidth="1"/>
    <col min="29" max="29" width="7.6640625" style="999" customWidth="1"/>
    <col min="30" max="30" width="1.6640625" style="999" customWidth="1"/>
    <col min="31" max="31" width="7.6640625" style="295" customWidth="1"/>
    <col min="32" max="32" width="1.6640625" style="295" customWidth="1"/>
    <col min="33" max="33" width="7.6640625" style="295" customWidth="1"/>
    <col min="34" max="34" width="1.6640625" style="295" customWidth="1"/>
    <col min="35" max="35" width="4.6640625" style="295" customWidth="1"/>
    <col min="36" max="36" width="1.6640625" style="295" customWidth="1"/>
    <col min="37" max="37" width="4.6640625" style="295" customWidth="1"/>
    <col min="38" max="38" width="1.6640625" style="295" customWidth="1"/>
    <col min="39" max="39" width="7.6640625" style="295" customWidth="1"/>
    <col min="40" max="40" width="1.6640625" style="295" customWidth="1"/>
    <col min="41" max="41" width="7.6640625" style="295" customWidth="1"/>
    <col min="42" max="43" width="1.6640625" style="295" customWidth="1"/>
    <col min="44" max="44" width="5.6640625" style="295" customWidth="1"/>
    <col min="45" max="45" width="9.6640625" style="295" customWidth="1"/>
    <col min="46" max="46" width="1.6640625" style="295" customWidth="1"/>
    <col min="47" max="47" width="9.6640625" style="295" customWidth="1"/>
    <col min="48" max="48" width="1.6640625" style="295" customWidth="1"/>
    <col min="49" max="49" width="9.6640625" style="295" customWidth="1"/>
    <col min="50" max="50" width="1.6640625" style="295" customWidth="1"/>
    <col min="51" max="51" width="9.6640625" style="295" customWidth="1"/>
    <col min="52" max="52" width="1.6640625" style="295" customWidth="1"/>
    <col min="53" max="53" width="8.6640625" style="295" customWidth="1"/>
    <col min="54" max="54" width="1.6640625" style="295" customWidth="1"/>
    <col min="55" max="55" width="8.6640625" style="295" customWidth="1"/>
    <col min="56" max="57" width="1.6640625" style="295" customWidth="1"/>
    <col min="58" max="58" width="3.6640625" style="295" customWidth="1"/>
    <col min="59" max="59" width="10.6640625" style="295" customWidth="1"/>
    <col min="60" max="60" width="1.6640625" style="295" customWidth="1"/>
    <col min="61" max="61" width="10.6640625" style="999" customWidth="1"/>
    <col min="62" max="62" width="1.6640625" style="999" customWidth="1"/>
    <col min="63" max="63" width="10.6640625" style="295" customWidth="1"/>
    <col min="64" max="64" width="1.6640625" style="295" customWidth="1"/>
    <col min="65" max="65" width="4.6640625" style="295" customWidth="1"/>
    <col min="66" max="78" width="9.109375" style="295"/>
    <col min="79" max="79" width="18.44140625" style="295" bestFit="1" customWidth="1"/>
    <col min="80" max="80" width="9.109375" style="295"/>
    <col min="81" max="81" width="2.6640625" style="295" customWidth="1"/>
    <col min="82" max="82" width="12.6640625" style="295" customWidth="1"/>
    <col min="83" max="254" width="9.109375" style="295"/>
    <col min="255" max="255" width="17.88671875" style="295" customWidth="1"/>
    <col min="256" max="256" width="9.44140625" style="295" bestFit="1" customWidth="1"/>
    <col min="257" max="257" width="3.6640625" style="295" customWidth="1"/>
    <col min="258" max="258" width="10.6640625" style="295" customWidth="1"/>
    <col min="259" max="259" width="3.6640625" style="295" customWidth="1"/>
    <col min="260" max="260" width="10.6640625" style="295" customWidth="1"/>
    <col min="261" max="261" width="3.6640625" style="295" customWidth="1"/>
    <col min="262" max="262" width="10.6640625" style="295" customWidth="1"/>
    <col min="263" max="263" width="3.6640625" style="295" customWidth="1"/>
    <col min="264" max="264" width="6.88671875" style="295" customWidth="1"/>
    <col min="265" max="265" width="3.6640625" style="295" customWidth="1"/>
    <col min="266" max="266" width="10.6640625" style="295" customWidth="1"/>
    <col min="267" max="269" width="3.6640625" style="295" customWidth="1"/>
    <col min="270" max="270" width="10.6640625" style="295" customWidth="1"/>
    <col min="271" max="271" width="3.6640625" style="295" customWidth="1"/>
    <col min="272" max="272" width="10.6640625" style="295" customWidth="1"/>
    <col min="273" max="273" width="3.6640625" style="295" customWidth="1"/>
    <col min="274" max="274" width="10.6640625" style="295" customWidth="1"/>
    <col min="275" max="275" width="3.6640625" style="295" customWidth="1"/>
    <col min="276" max="276" width="10.6640625" style="295" customWidth="1"/>
    <col min="277" max="277" width="3.6640625" style="295" customWidth="1"/>
    <col min="278" max="278" width="10.6640625" style="295" customWidth="1"/>
    <col min="279" max="279" width="3.6640625" style="295" customWidth="1"/>
    <col min="280" max="280" width="10.6640625" style="295" customWidth="1"/>
    <col min="281" max="281" width="3.6640625" style="295" customWidth="1"/>
    <col min="282" max="282" width="4.6640625" style="295" customWidth="1"/>
    <col min="283" max="283" width="7.6640625" style="295" customWidth="1"/>
    <col min="284" max="284" width="1.6640625" style="295" customWidth="1"/>
    <col min="285" max="285" width="7.6640625" style="295" customWidth="1"/>
    <col min="286" max="286" width="1.6640625" style="295" customWidth="1"/>
    <col min="287" max="287" width="7.6640625" style="295" customWidth="1"/>
    <col min="288" max="288" width="1.6640625" style="295" customWidth="1"/>
    <col min="289" max="289" width="7.6640625" style="295" customWidth="1"/>
    <col min="290" max="290" width="1.6640625" style="295" customWidth="1"/>
    <col min="291" max="291" width="4.6640625" style="295" customWidth="1"/>
    <col min="292" max="292" width="1.6640625" style="295" customWidth="1"/>
    <col min="293" max="293" width="4.6640625" style="295" customWidth="1"/>
    <col min="294" max="294" width="1.6640625" style="295" customWidth="1"/>
    <col min="295" max="295" width="7.6640625" style="295" customWidth="1"/>
    <col min="296" max="296" width="1.6640625" style="295" customWidth="1"/>
    <col min="297" max="297" width="7.6640625" style="295" customWidth="1"/>
    <col min="298" max="299" width="1.6640625" style="295" customWidth="1"/>
    <col min="300" max="300" width="5.6640625" style="295" customWidth="1"/>
    <col min="301" max="301" width="9.6640625" style="295" customWidth="1"/>
    <col min="302" max="302" width="1.6640625" style="295" customWidth="1"/>
    <col min="303" max="303" width="9.6640625" style="295" customWidth="1"/>
    <col min="304" max="304" width="1.6640625" style="295" customWidth="1"/>
    <col min="305" max="305" width="9.6640625" style="295" customWidth="1"/>
    <col min="306" max="306" width="1.6640625" style="295" customWidth="1"/>
    <col min="307" max="307" width="9.6640625" style="295" customWidth="1"/>
    <col min="308" max="308" width="1.6640625" style="295" customWidth="1"/>
    <col min="309" max="309" width="8.6640625" style="295" customWidth="1"/>
    <col min="310" max="310" width="1.6640625" style="295" customWidth="1"/>
    <col min="311" max="311" width="8.6640625" style="295" customWidth="1"/>
    <col min="312" max="313" width="1.6640625" style="295" customWidth="1"/>
    <col min="314" max="314" width="3.6640625" style="295" customWidth="1"/>
    <col min="315" max="315" width="10.6640625" style="295" customWidth="1"/>
    <col min="316" max="316" width="1.6640625" style="295" customWidth="1"/>
    <col min="317" max="317" width="10.6640625" style="295" customWidth="1"/>
    <col min="318" max="318" width="1.6640625" style="295" customWidth="1"/>
    <col min="319" max="319" width="10.6640625" style="295" customWidth="1"/>
    <col min="320" max="320" width="1.6640625" style="295" customWidth="1"/>
    <col min="321" max="321" width="4.6640625" style="295" customWidth="1"/>
    <col min="322" max="334" width="9.109375" style="295"/>
    <col min="335" max="335" width="18.44140625" style="295" bestFit="1" customWidth="1"/>
    <col min="336" max="336" width="9.109375" style="295"/>
    <col min="337" max="337" width="2.6640625" style="295" customWidth="1"/>
    <col min="338" max="338" width="12.6640625" style="295" customWidth="1"/>
    <col min="339" max="510" width="9.109375" style="295"/>
    <col min="511" max="511" width="17.88671875" style="295" customWidth="1"/>
    <col min="512" max="512" width="9.44140625" style="295" bestFit="1" customWidth="1"/>
    <col min="513" max="513" width="3.6640625" style="295" customWidth="1"/>
    <col min="514" max="514" width="10.6640625" style="295" customWidth="1"/>
    <col min="515" max="515" width="3.6640625" style="295" customWidth="1"/>
    <col min="516" max="516" width="10.6640625" style="295" customWidth="1"/>
    <col min="517" max="517" width="3.6640625" style="295" customWidth="1"/>
    <col min="518" max="518" width="10.6640625" style="295" customWidth="1"/>
    <col min="519" max="519" width="3.6640625" style="295" customWidth="1"/>
    <col min="520" max="520" width="6.88671875" style="295" customWidth="1"/>
    <col min="521" max="521" width="3.6640625" style="295" customWidth="1"/>
    <col min="522" max="522" width="10.6640625" style="295" customWidth="1"/>
    <col min="523" max="525" width="3.6640625" style="295" customWidth="1"/>
    <col min="526" max="526" width="10.6640625" style="295" customWidth="1"/>
    <col min="527" max="527" width="3.6640625" style="295" customWidth="1"/>
    <col min="528" max="528" width="10.6640625" style="295" customWidth="1"/>
    <col min="529" max="529" width="3.6640625" style="295" customWidth="1"/>
    <col min="530" max="530" width="10.6640625" style="295" customWidth="1"/>
    <col min="531" max="531" width="3.6640625" style="295" customWidth="1"/>
    <col min="532" max="532" width="10.6640625" style="295" customWidth="1"/>
    <col min="533" max="533" width="3.6640625" style="295" customWidth="1"/>
    <col min="534" max="534" width="10.6640625" style="295" customWidth="1"/>
    <col min="535" max="535" width="3.6640625" style="295" customWidth="1"/>
    <col min="536" max="536" width="10.6640625" style="295" customWidth="1"/>
    <col min="537" max="537" width="3.6640625" style="295" customWidth="1"/>
    <col min="538" max="538" width="4.6640625" style="295" customWidth="1"/>
    <col min="539" max="539" width="7.6640625" style="295" customWidth="1"/>
    <col min="540" max="540" width="1.6640625" style="295" customWidth="1"/>
    <col min="541" max="541" width="7.6640625" style="295" customWidth="1"/>
    <col min="542" max="542" width="1.6640625" style="295" customWidth="1"/>
    <col min="543" max="543" width="7.6640625" style="295" customWidth="1"/>
    <col min="544" max="544" width="1.6640625" style="295" customWidth="1"/>
    <col min="545" max="545" width="7.6640625" style="295" customWidth="1"/>
    <col min="546" max="546" width="1.6640625" style="295" customWidth="1"/>
    <col min="547" max="547" width="4.6640625" style="295" customWidth="1"/>
    <col min="548" max="548" width="1.6640625" style="295" customWidth="1"/>
    <col min="549" max="549" width="4.6640625" style="295" customWidth="1"/>
    <col min="550" max="550" width="1.6640625" style="295" customWidth="1"/>
    <col min="551" max="551" width="7.6640625" style="295" customWidth="1"/>
    <col min="552" max="552" width="1.6640625" style="295" customWidth="1"/>
    <col min="553" max="553" width="7.6640625" style="295" customWidth="1"/>
    <col min="554" max="555" width="1.6640625" style="295" customWidth="1"/>
    <col min="556" max="556" width="5.6640625" style="295" customWidth="1"/>
    <col min="557" max="557" width="9.6640625" style="295" customWidth="1"/>
    <col min="558" max="558" width="1.6640625" style="295" customWidth="1"/>
    <col min="559" max="559" width="9.6640625" style="295" customWidth="1"/>
    <col min="560" max="560" width="1.6640625" style="295" customWidth="1"/>
    <col min="561" max="561" width="9.6640625" style="295" customWidth="1"/>
    <col min="562" max="562" width="1.6640625" style="295" customWidth="1"/>
    <col min="563" max="563" width="9.6640625" style="295" customWidth="1"/>
    <col min="564" max="564" width="1.6640625" style="295" customWidth="1"/>
    <col min="565" max="565" width="8.6640625" style="295" customWidth="1"/>
    <col min="566" max="566" width="1.6640625" style="295" customWidth="1"/>
    <col min="567" max="567" width="8.6640625" style="295" customWidth="1"/>
    <col min="568" max="569" width="1.6640625" style="295" customWidth="1"/>
    <col min="570" max="570" width="3.6640625" style="295" customWidth="1"/>
    <col min="571" max="571" width="10.6640625" style="295" customWidth="1"/>
    <col min="572" max="572" width="1.6640625" style="295" customWidth="1"/>
    <col min="573" max="573" width="10.6640625" style="295" customWidth="1"/>
    <col min="574" max="574" width="1.6640625" style="295" customWidth="1"/>
    <col min="575" max="575" width="10.6640625" style="295" customWidth="1"/>
    <col min="576" max="576" width="1.6640625" style="295" customWidth="1"/>
    <col min="577" max="577" width="4.6640625" style="295" customWidth="1"/>
    <col min="578" max="590" width="9.109375" style="295"/>
    <col min="591" max="591" width="18.44140625" style="295" bestFit="1" customWidth="1"/>
    <col min="592" max="592" width="9.109375" style="295"/>
    <col min="593" max="593" width="2.6640625" style="295" customWidth="1"/>
    <col min="594" max="594" width="12.6640625" style="295" customWidth="1"/>
    <col min="595" max="766" width="9.109375" style="295"/>
    <col min="767" max="767" width="17.88671875" style="295" customWidth="1"/>
    <col min="768" max="768" width="9.44140625" style="295" bestFit="1" customWidth="1"/>
    <col min="769" max="769" width="3.6640625" style="295" customWidth="1"/>
    <col min="770" max="770" width="10.6640625" style="295" customWidth="1"/>
    <col min="771" max="771" width="3.6640625" style="295" customWidth="1"/>
    <col min="772" max="772" width="10.6640625" style="295" customWidth="1"/>
    <col min="773" max="773" width="3.6640625" style="295" customWidth="1"/>
    <col min="774" max="774" width="10.6640625" style="295" customWidth="1"/>
    <col min="775" max="775" width="3.6640625" style="295" customWidth="1"/>
    <col min="776" max="776" width="6.88671875" style="295" customWidth="1"/>
    <col min="777" max="777" width="3.6640625" style="295" customWidth="1"/>
    <col min="778" max="778" width="10.6640625" style="295" customWidth="1"/>
    <col min="779" max="781" width="3.6640625" style="295" customWidth="1"/>
    <col min="782" max="782" width="10.6640625" style="295" customWidth="1"/>
    <col min="783" max="783" width="3.6640625" style="295" customWidth="1"/>
    <col min="784" max="784" width="10.6640625" style="295" customWidth="1"/>
    <col min="785" max="785" width="3.6640625" style="295" customWidth="1"/>
    <col min="786" max="786" width="10.6640625" style="295" customWidth="1"/>
    <col min="787" max="787" width="3.6640625" style="295" customWidth="1"/>
    <col min="788" max="788" width="10.6640625" style="295" customWidth="1"/>
    <col min="789" max="789" width="3.6640625" style="295" customWidth="1"/>
    <col min="790" max="790" width="10.6640625" style="295" customWidth="1"/>
    <col min="791" max="791" width="3.6640625" style="295" customWidth="1"/>
    <col min="792" max="792" width="10.6640625" style="295" customWidth="1"/>
    <col min="793" max="793" width="3.6640625" style="295" customWidth="1"/>
    <col min="794" max="794" width="4.6640625" style="295" customWidth="1"/>
    <col min="795" max="795" width="7.6640625" style="295" customWidth="1"/>
    <col min="796" max="796" width="1.6640625" style="295" customWidth="1"/>
    <col min="797" max="797" width="7.6640625" style="295" customWidth="1"/>
    <col min="798" max="798" width="1.6640625" style="295" customWidth="1"/>
    <col min="799" max="799" width="7.6640625" style="295" customWidth="1"/>
    <col min="800" max="800" width="1.6640625" style="295" customWidth="1"/>
    <col min="801" max="801" width="7.6640625" style="295" customWidth="1"/>
    <col min="802" max="802" width="1.6640625" style="295" customWidth="1"/>
    <col min="803" max="803" width="4.6640625" style="295" customWidth="1"/>
    <col min="804" max="804" width="1.6640625" style="295" customWidth="1"/>
    <col min="805" max="805" width="4.6640625" style="295" customWidth="1"/>
    <col min="806" max="806" width="1.6640625" style="295" customWidth="1"/>
    <col min="807" max="807" width="7.6640625" style="295" customWidth="1"/>
    <col min="808" max="808" width="1.6640625" style="295" customWidth="1"/>
    <col min="809" max="809" width="7.6640625" style="295" customWidth="1"/>
    <col min="810" max="811" width="1.6640625" style="295" customWidth="1"/>
    <col min="812" max="812" width="5.6640625" style="295" customWidth="1"/>
    <col min="813" max="813" width="9.6640625" style="295" customWidth="1"/>
    <col min="814" max="814" width="1.6640625" style="295" customWidth="1"/>
    <col min="815" max="815" width="9.6640625" style="295" customWidth="1"/>
    <col min="816" max="816" width="1.6640625" style="295" customWidth="1"/>
    <col min="817" max="817" width="9.6640625" style="295" customWidth="1"/>
    <col min="818" max="818" width="1.6640625" style="295" customWidth="1"/>
    <col min="819" max="819" width="9.6640625" style="295" customWidth="1"/>
    <col min="820" max="820" width="1.6640625" style="295" customWidth="1"/>
    <col min="821" max="821" width="8.6640625" style="295" customWidth="1"/>
    <col min="822" max="822" width="1.6640625" style="295" customWidth="1"/>
    <col min="823" max="823" width="8.6640625" style="295" customWidth="1"/>
    <col min="824" max="825" width="1.6640625" style="295" customWidth="1"/>
    <col min="826" max="826" width="3.6640625" style="295" customWidth="1"/>
    <col min="827" max="827" width="10.6640625" style="295" customWidth="1"/>
    <col min="828" max="828" width="1.6640625" style="295" customWidth="1"/>
    <col min="829" max="829" width="10.6640625" style="295" customWidth="1"/>
    <col min="830" max="830" width="1.6640625" style="295" customWidth="1"/>
    <col min="831" max="831" width="10.6640625" style="295" customWidth="1"/>
    <col min="832" max="832" width="1.6640625" style="295" customWidth="1"/>
    <col min="833" max="833" width="4.6640625" style="295" customWidth="1"/>
    <col min="834" max="846" width="9.109375" style="295"/>
    <col min="847" max="847" width="18.44140625" style="295" bestFit="1" customWidth="1"/>
    <col min="848" max="848" width="9.109375" style="295"/>
    <col min="849" max="849" width="2.6640625" style="295" customWidth="1"/>
    <col min="850" max="850" width="12.6640625" style="295" customWidth="1"/>
    <col min="851" max="1022" width="9.109375" style="295"/>
    <col min="1023" max="1023" width="17.88671875" style="295" customWidth="1"/>
    <col min="1024" max="1024" width="9.44140625" style="295" bestFit="1" customWidth="1"/>
    <col min="1025" max="1025" width="3.6640625" style="295" customWidth="1"/>
    <col min="1026" max="1026" width="10.6640625" style="295" customWidth="1"/>
    <col min="1027" max="1027" width="3.6640625" style="295" customWidth="1"/>
    <col min="1028" max="1028" width="10.6640625" style="295" customWidth="1"/>
    <col min="1029" max="1029" width="3.6640625" style="295" customWidth="1"/>
    <col min="1030" max="1030" width="10.6640625" style="295" customWidth="1"/>
    <col min="1031" max="1031" width="3.6640625" style="295" customWidth="1"/>
    <col min="1032" max="1032" width="6.88671875" style="295" customWidth="1"/>
    <col min="1033" max="1033" width="3.6640625" style="295" customWidth="1"/>
    <col min="1034" max="1034" width="10.6640625" style="295" customWidth="1"/>
    <col min="1035" max="1037" width="3.6640625" style="295" customWidth="1"/>
    <col min="1038" max="1038" width="10.6640625" style="295" customWidth="1"/>
    <col min="1039" max="1039" width="3.6640625" style="295" customWidth="1"/>
    <col min="1040" max="1040" width="10.6640625" style="295" customWidth="1"/>
    <col min="1041" max="1041" width="3.6640625" style="295" customWidth="1"/>
    <col min="1042" max="1042" width="10.6640625" style="295" customWidth="1"/>
    <col min="1043" max="1043" width="3.6640625" style="295" customWidth="1"/>
    <col min="1044" max="1044" width="10.6640625" style="295" customWidth="1"/>
    <col min="1045" max="1045" width="3.6640625" style="295" customWidth="1"/>
    <col min="1046" max="1046" width="10.6640625" style="295" customWidth="1"/>
    <col min="1047" max="1047" width="3.6640625" style="295" customWidth="1"/>
    <col min="1048" max="1048" width="10.6640625" style="295" customWidth="1"/>
    <col min="1049" max="1049" width="3.6640625" style="295" customWidth="1"/>
    <col min="1050" max="1050" width="4.6640625" style="295" customWidth="1"/>
    <col min="1051" max="1051" width="7.6640625" style="295" customWidth="1"/>
    <col min="1052" max="1052" width="1.6640625" style="295" customWidth="1"/>
    <col min="1053" max="1053" width="7.6640625" style="295" customWidth="1"/>
    <col min="1054" max="1054" width="1.6640625" style="295" customWidth="1"/>
    <col min="1055" max="1055" width="7.6640625" style="295" customWidth="1"/>
    <col min="1056" max="1056" width="1.6640625" style="295" customWidth="1"/>
    <col min="1057" max="1057" width="7.6640625" style="295" customWidth="1"/>
    <col min="1058" max="1058" width="1.6640625" style="295" customWidth="1"/>
    <col min="1059" max="1059" width="4.6640625" style="295" customWidth="1"/>
    <col min="1060" max="1060" width="1.6640625" style="295" customWidth="1"/>
    <col min="1061" max="1061" width="4.6640625" style="295" customWidth="1"/>
    <col min="1062" max="1062" width="1.6640625" style="295" customWidth="1"/>
    <col min="1063" max="1063" width="7.6640625" style="295" customWidth="1"/>
    <col min="1064" max="1064" width="1.6640625" style="295" customWidth="1"/>
    <col min="1065" max="1065" width="7.6640625" style="295" customWidth="1"/>
    <col min="1066" max="1067" width="1.6640625" style="295" customWidth="1"/>
    <col min="1068" max="1068" width="5.6640625" style="295" customWidth="1"/>
    <col min="1069" max="1069" width="9.6640625" style="295" customWidth="1"/>
    <col min="1070" max="1070" width="1.6640625" style="295" customWidth="1"/>
    <col min="1071" max="1071" width="9.6640625" style="295" customWidth="1"/>
    <col min="1072" max="1072" width="1.6640625" style="295" customWidth="1"/>
    <col min="1073" max="1073" width="9.6640625" style="295" customWidth="1"/>
    <col min="1074" max="1074" width="1.6640625" style="295" customWidth="1"/>
    <col min="1075" max="1075" width="9.6640625" style="295" customWidth="1"/>
    <col min="1076" max="1076" width="1.6640625" style="295" customWidth="1"/>
    <col min="1077" max="1077" width="8.6640625" style="295" customWidth="1"/>
    <col min="1078" max="1078" width="1.6640625" style="295" customWidth="1"/>
    <col min="1079" max="1079" width="8.6640625" style="295" customWidth="1"/>
    <col min="1080" max="1081" width="1.6640625" style="295" customWidth="1"/>
    <col min="1082" max="1082" width="3.6640625" style="295" customWidth="1"/>
    <col min="1083" max="1083" width="10.6640625" style="295" customWidth="1"/>
    <col min="1084" max="1084" width="1.6640625" style="295" customWidth="1"/>
    <col min="1085" max="1085" width="10.6640625" style="295" customWidth="1"/>
    <col min="1086" max="1086" width="1.6640625" style="295" customWidth="1"/>
    <col min="1087" max="1087" width="10.6640625" style="295" customWidth="1"/>
    <col min="1088" max="1088" width="1.6640625" style="295" customWidth="1"/>
    <col min="1089" max="1089" width="4.6640625" style="295" customWidth="1"/>
    <col min="1090" max="1102" width="9.109375" style="295"/>
    <col min="1103" max="1103" width="18.44140625" style="295" bestFit="1" customWidth="1"/>
    <col min="1104" max="1104" width="9.109375" style="295"/>
    <col min="1105" max="1105" width="2.6640625" style="295" customWidth="1"/>
    <col min="1106" max="1106" width="12.6640625" style="295" customWidth="1"/>
    <col min="1107" max="1278" width="9.109375" style="295"/>
    <col min="1279" max="1279" width="17.88671875" style="295" customWidth="1"/>
    <col min="1280" max="1280" width="9.44140625" style="295" bestFit="1" customWidth="1"/>
    <col min="1281" max="1281" width="3.6640625" style="295" customWidth="1"/>
    <col min="1282" max="1282" width="10.6640625" style="295" customWidth="1"/>
    <col min="1283" max="1283" width="3.6640625" style="295" customWidth="1"/>
    <col min="1284" max="1284" width="10.6640625" style="295" customWidth="1"/>
    <col min="1285" max="1285" width="3.6640625" style="295" customWidth="1"/>
    <col min="1286" max="1286" width="10.6640625" style="295" customWidth="1"/>
    <col min="1287" max="1287" width="3.6640625" style="295" customWidth="1"/>
    <col min="1288" max="1288" width="6.88671875" style="295" customWidth="1"/>
    <col min="1289" max="1289" width="3.6640625" style="295" customWidth="1"/>
    <col min="1290" max="1290" width="10.6640625" style="295" customWidth="1"/>
    <col min="1291" max="1293" width="3.6640625" style="295" customWidth="1"/>
    <col min="1294" max="1294" width="10.6640625" style="295" customWidth="1"/>
    <col min="1295" max="1295" width="3.6640625" style="295" customWidth="1"/>
    <col min="1296" max="1296" width="10.6640625" style="295" customWidth="1"/>
    <col min="1297" max="1297" width="3.6640625" style="295" customWidth="1"/>
    <col min="1298" max="1298" width="10.6640625" style="295" customWidth="1"/>
    <col min="1299" max="1299" width="3.6640625" style="295" customWidth="1"/>
    <col min="1300" max="1300" width="10.6640625" style="295" customWidth="1"/>
    <col min="1301" max="1301" width="3.6640625" style="295" customWidth="1"/>
    <col min="1302" max="1302" width="10.6640625" style="295" customWidth="1"/>
    <col min="1303" max="1303" width="3.6640625" style="295" customWidth="1"/>
    <col min="1304" max="1304" width="10.6640625" style="295" customWidth="1"/>
    <col min="1305" max="1305" width="3.6640625" style="295" customWidth="1"/>
    <col min="1306" max="1306" width="4.6640625" style="295" customWidth="1"/>
    <col min="1307" max="1307" width="7.6640625" style="295" customWidth="1"/>
    <col min="1308" max="1308" width="1.6640625" style="295" customWidth="1"/>
    <col min="1309" max="1309" width="7.6640625" style="295" customWidth="1"/>
    <col min="1310" max="1310" width="1.6640625" style="295" customWidth="1"/>
    <col min="1311" max="1311" width="7.6640625" style="295" customWidth="1"/>
    <col min="1312" max="1312" width="1.6640625" style="295" customWidth="1"/>
    <col min="1313" max="1313" width="7.6640625" style="295" customWidth="1"/>
    <col min="1314" max="1314" width="1.6640625" style="295" customWidth="1"/>
    <col min="1315" max="1315" width="4.6640625" style="295" customWidth="1"/>
    <col min="1316" max="1316" width="1.6640625" style="295" customWidth="1"/>
    <col min="1317" max="1317" width="4.6640625" style="295" customWidth="1"/>
    <col min="1318" max="1318" width="1.6640625" style="295" customWidth="1"/>
    <col min="1319" max="1319" width="7.6640625" style="295" customWidth="1"/>
    <col min="1320" max="1320" width="1.6640625" style="295" customWidth="1"/>
    <col min="1321" max="1321" width="7.6640625" style="295" customWidth="1"/>
    <col min="1322" max="1323" width="1.6640625" style="295" customWidth="1"/>
    <col min="1324" max="1324" width="5.6640625" style="295" customWidth="1"/>
    <col min="1325" max="1325" width="9.6640625" style="295" customWidth="1"/>
    <col min="1326" max="1326" width="1.6640625" style="295" customWidth="1"/>
    <col min="1327" max="1327" width="9.6640625" style="295" customWidth="1"/>
    <col min="1328" max="1328" width="1.6640625" style="295" customWidth="1"/>
    <col min="1329" max="1329" width="9.6640625" style="295" customWidth="1"/>
    <col min="1330" max="1330" width="1.6640625" style="295" customWidth="1"/>
    <col min="1331" max="1331" width="9.6640625" style="295" customWidth="1"/>
    <col min="1332" max="1332" width="1.6640625" style="295" customWidth="1"/>
    <col min="1333" max="1333" width="8.6640625" style="295" customWidth="1"/>
    <col min="1334" max="1334" width="1.6640625" style="295" customWidth="1"/>
    <col min="1335" max="1335" width="8.6640625" style="295" customWidth="1"/>
    <col min="1336" max="1337" width="1.6640625" style="295" customWidth="1"/>
    <col min="1338" max="1338" width="3.6640625" style="295" customWidth="1"/>
    <col min="1339" max="1339" width="10.6640625" style="295" customWidth="1"/>
    <col min="1340" max="1340" width="1.6640625" style="295" customWidth="1"/>
    <col min="1341" max="1341" width="10.6640625" style="295" customWidth="1"/>
    <col min="1342" max="1342" width="1.6640625" style="295" customWidth="1"/>
    <col min="1343" max="1343" width="10.6640625" style="295" customWidth="1"/>
    <col min="1344" max="1344" width="1.6640625" style="295" customWidth="1"/>
    <col min="1345" max="1345" width="4.6640625" style="295" customWidth="1"/>
    <col min="1346" max="1358" width="9.109375" style="295"/>
    <col min="1359" max="1359" width="18.44140625" style="295" bestFit="1" customWidth="1"/>
    <col min="1360" max="1360" width="9.109375" style="295"/>
    <col min="1361" max="1361" width="2.6640625" style="295" customWidth="1"/>
    <col min="1362" max="1362" width="12.6640625" style="295" customWidth="1"/>
    <col min="1363" max="1534" width="9.109375" style="295"/>
    <col min="1535" max="1535" width="17.88671875" style="295" customWidth="1"/>
    <col min="1536" max="1536" width="9.44140625" style="295" bestFit="1" customWidth="1"/>
    <col min="1537" max="1537" width="3.6640625" style="295" customWidth="1"/>
    <col min="1538" max="1538" width="10.6640625" style="295" customWidth="1"/>
    <col min="1539" max="1539" width="3.6640625" style="295" customWidth="1"/>
    <col min="1540" max="1540" width="10.6640625" style="295" customWidth="1"/>
    <col min="1541" max="1541" width="3.6640625" style="295" customWidth="1"/>
    <col min="1542" max="1542" width="10.6640625" style="295" customWidth="1"/>
    <col min="1543" max="1543" width="3.6640625" style="295" customWidth="1"/>
    <col min="1544" max="1544" width="6.88671875" style="295" customWidth="1"/>
    <col min="1545" max="1545" width="3.6640625" style="295" customWidth="1"/>
    <col min="1546" max="1546" width="10.6640625" style="295" customWidth="1"/>
    <col min="1547" max="1549" width="3.6640625" style="295" customWidth="1"/>
    <col min="1550" max="1550" width="10.6640625" style="295" customWidth="1"/>
    <col min="1551" max="1551" width="3.6640625" style="295" customWidth="1"/>
    <col min="1552" max="1552" width="10.6640625" style="295" customWidth="1"/>
    <col min="1553" max="1553" width="3.6640625" style="295" customWidth="1"/>
    <col min="1554" max="1554" width="10.6640625" style="295" customWidth="1"/>
    <col min="1555" max="1555" width="3.6640625" style="295" customWidth="1"/>
    <col min="1556" max="1556" width="10.6640625" style="295" customWidth="1"/>
    <col min="1557" max="1557" width="3.6640625" style="295" customWidth="1"/>
    <col min="1558" max="1558" width="10.6640625" style="295" customWidth="1"/>
    <col min="1559" max="1559" width="3.6640625" style="295" customWidth="1"/>
    <col min="1560" max="1560" width="10.6640625" style="295" customWidth="1"/>
    <col min="1561" max="1561" width="3.6640625" style="295" customWidth="1"/>
    <col min="1562" max="1562" width="4.6640625" style="295" customWidth="1"/>
    <col min="1563" max="1563" width="7.6640625" style="295" customWidth="1"/>
    <col min="1564" max="1564" width="1.6640625" style="295" customWidth="1"/>
    <col min="1565" max="1565" width="7.6640625" style="295" customWidth="1"/>
    <col min="1566" max="1566" width="1.6640625" style="295" customWidth="1"/>
    <col min="1567" max="1567" width="7.6640625" style="295" customWidth="1"/>
    <col min="1568" max="1568" width="1.6640625" style="295" customWidth="1"/>
    <col min="1569" max="1569" width="7.6640625" style="295" customWidth="1"/>
    <col min="1570" max="1570" width="1.6640625" style="295" customWidth="1"/>
    <col min="1571" max="1571" width="4.6640625" style="295" customWidth="1"/>
    <col min="1572" max="1572" width="1.6640625" style="295" customWidth="1"/>
    <col min="1573" max="1573" width="4.6640625" style="295" customWidth="1"/>
    <col min="1574" max="1574" width="1.6640625" style="295" customWidth="1"/>
    <col min="1575" max="1575" width="7.6640625" style="295" customWidth="1"/>
    <col min="1576" max="1576" width="1.6640625" style="295" customWidth="1"/>
    <col min="1577" max="1577" width="7.6640625" style="295" customWidth="1"/>
    <col min="1578" max="1579" width="1.6640625" style="295" customWidth="1"/>
    <col min="1580" max="1580" width="5.6640625" style="295" customWidth="1"/>
    <col min="1581" max="1581" width="9.6640625" style="295" customWidth="1"/>
    <col min="1582" max="1582" width="1.6640625" style="295" customWidth="1"/>
    <col min="1583" max="1583" width="9.6640625" style="295" customWidth="1"/>
    <col min="1584" max="1584" width="1.6640625" style="295" customWidth="1"/>
    <col min="1585" max="1585" width="9.6640625" style="295" customWidth="1"/>
    <col min="1586" max="1586" width="1.6640625" style="295" customWidth="1"/>
    <col min="1587" max="1587" width="9.6640625" style="295" customWidth="1"/>
    <col min="1588" max="1588" width="1.6640625" style="295" customWidth="1"/>
    <col min="1589" max="1589" width="8.6640625" style="295" customWidth="1"/>
    <col min="1590" max="1590" width="1.6640625" style="295" customWidth="1"/>
    <col min="1591" max="1591" width="8.6640625" style="295" customWidth="1"/>
    <col min="1592" max="1593" width="1.6640625" style="295" customWidth="1"/>
    <col min="1594" max="1594" width="3.6640625" style="295" customWidth="1"/>
    <col min="1595" max="1595" width="10.6640625" style="295" customWidth="1"/>
    <col min="1596" max="1596" width="1.6640625" style="295" customWidth="1"/>
    <col min="1597" max="1597" width="10.6640625" style="295" customWidth="1"/>
    <col min="1598" max="1598" width="1.6640625" style="295" customWidth="1"/>
    <col min="1599" max="1599" width="10.6640625" style="295" customWidth="1"/>
    <col min="1600" max="1600" width="1.6640625" style="295" customWidth="1"/>
    <col min="1601" max="1601" width="4.6640625" style="295" customWidth="1"/>
    <col min="1602" max="1614" width="9.109375" style="295"/>
    <col min="1615" max="1615" width="18.44140625" style="295" bestFit="1" customWidth="1"/>
    <col min="1616" max="1616" width="9.109375" style="295"/>
    <col min="1617" max="1617" width="2.6640625" style="295" customWidth="1"/>
    <col min="1618" max="1618" width="12.6640625" style="295" customWidth="1"/>
    <col min="1619" max="1790" width="9.109375" style="295"/>
    <col min="1791" max="1791" width="17.88671875" style="295" customWidth="1"/>
    <col min="1792" max="1792" width="9.44140625" style="295" bestFit="1" customWidth="1"/>
    <col min="1793" max="1793" width="3.6640625" style="295" customWidth="1"/>
    <col min="1794" max="1794" width="10.6640625" style="295" customWidth="1"/>
    <col min="1795" max="1795" width="3.6640625" style="295" customWidth="1"/>
    <col min="1796" max="1796" width="10.6640625" style="295" customWidth="1"/>
    <col min="1797" max="1797" width="3.6640625" style="295" customWidth="1"/>
    <col min="1798" max="1798" width="10.6640625" style="295" customWidth="1"/>
    <col min="1799" max="1799" width="3.6640625" style="295" customWidth="1"/>
    <col min="1800" max="1800" width="6.88671875" style="295" customWidth="1"/>
    <col min="1801" max="1801" width="3.6640625" style="295" customWidth="1"/>
    <col min="1802" max="1802" width="10.6640625" style="295" customWidth="1"/>
    <col min="1803" max="1805" width="3.6640625" style="295" customWidth="1"/>
    <col min="1806" max="1806" width="10.6640625" style="295" customWidth="1"/>
    <col min="1807" max="1807" width="3.6640625" style="295" customWidth="1"/>
    <col min="1808" max="1808" width="10.6640625" style="295" customWidth="1"/>
    <col min="1809" max="1809" width="3.6640625" style="295" customWidth="1"/>
    <col min="1810" max="1810" width="10.6640625" style="295" customWidth="1"/>
    <col min="1811" max="1811" width="3.6640625" style="295" customWidth="1"/>
    <col min="1812" max="1812" width="10.6640625" style="295" customWidth="1"/>
    <col min="1813" max="1813" width="3.6640625" style="295" customWidth="1"/>
    <col min="1814" max="1814" width="10.6640625" style="295" customWidth="1"/>
    <col min="1815" max="1815" width="3.6640625" style="295" customWidth="1"/>
    <col min="1816" max="1816" width="10.6640625" style="295" customWidth="1"/>
    <col min="1817" max="1817" width="3.6640625" style="295" customWidth="1"/>
    <col min="1818" max="1818" width="4.6640625" style="295" customWidth="1"/>
    <col min="1819" max="1819" width="7.6640625" style="295" customWidth="1"/>
    <col min="1820" max="1820" width="1.6640625" style="295" customWidth="1"/>
    <col min="1821" max="1821" width="7.6640625" style="295" customWidth="1"/>
    <col min="1822" max="1822" width="1.6640625" style="295" customWidth="1"/>
    <col min="1823" max="1823" width="7.6640625" style="295" customWidth="1"/>
    <col min="1824" max="1824" width="1.6640625" style="295" customWidth="1"/>
    <col min="1825" max="1825" width="7.6640625" style="295" customWidth="1"/>
    <col min="1826" max="1826" width="1.6640625" style="295" customWidth="1"/>
    <col min="1827" max="1827" width="4.6640625" style="295" customWidth="1"/>
    <col min="1828" max="1828" width="1.6640625" style="295" customWidth="1"/>
    <col min="1829" max="1829" width="4.6640625" style="295" customWidth="1"/>
    <col min="1830" max="1830" width="1.6640625" style="295" customWidth="1"/>
    <col min="1831" max="1831" width="7.6640625" style="295" customWidth="1"/>
    <col min="1832" max="1832" width="1.6640625" style="295" customWidth="1"/>
    <col min="1833" max="1833" width="7.6640625" style="295" customWidth="1"/>
    <col min="1834" max="1835" width="1.6640625" style="295" customWidth="1"/>
    <col min="1836" max="1836" width="5.6640625" style="295" customWidth="1"/>
    <col min="1837" max="1837" width="9.6640625" style="295" customWidth="1"/>
    <col min="1838" max="1838" width="1.6640625" style="295" customWidth="1"/>
    <col min="1839" max="1839" width="9.6640625" style="295" customWidth="1"/>
    <col min="1840" max="1840" width="1.6640625" style="295" customWidth="1"/>
    <col min="1841" max="1841" width="9.6640625" style="295" customWidth="1"/>
    <col min="1842" max="1842" width="1.6640625" style="295" customWidth="1"/>
    <col min="1843" max="1843" width="9.6640625" style="295" customWidth="1"/>
    <col min="1844" max="1844" width="1.6640625" style="295" customWidth="1"/>
    <col min="1845" max="1845" width="8.6640625" style="295" customWidth="1"/>
    <col min="1846" max="1846" width="1.6640625" style="295" customWidth="1"/>
    <col min="1847" max="1847" width="8.6640625" style="295" customWidth="1"/>
    <col min="1848" max="1849" width="1.6640625" style="295" customWidth="1"/>
    <col min="1850" max="1850" width="3.6640625" style="295" customWidth="1"/>
    <col min="1851" max="1851" width="10.6640625" style="295" customWidth="1"/>
    <col min="1852" max="1852" width="1.6640625" style="295" customWidth="1"/>
    <col min="1853" max="1853" width="10.6640625" style="295" customWidth="1"/>
    <col min="1854" max="1854" width="1.6640625" style="295" customWidth="1"/>
    <col min="1855" max="1855" width="10.6640625" style="295" customWidth="1"/>
    <col min="1856" max="1856" width="1.6640625" style="295" customWidth="1"/>
    <col min="1857" max="1857" width="4.6640625" style="295" customWidth="1"/>
    <col min="1858" max="1870" width="9.109375" style="295"/>
    <col min="1871" max="1871" width="18.44140625" style="295" bestFit="1" customWidth="1"/>
    <col min="1872" max="1872" width="9.109375" style="295"/>
    <col min="1873" max="1873" width="2.6640625" style="295" customWidth="1"/>
    <col min="1874" max="1874" width="12.6640625" style="295" customWidth="1"/>
    <col min="1875" max="2046" width="9.109375" style="295"/>
    <col min="2047" max="2047" width="17.88671875" style="295" customWidth="1"/>
    <col min="2048" max="2048" width="9.44140625" style="295" bestFit="1" customWidth="1"/>
    <col min="2049" max="2049" width="3.6640625" style="295" customWidth="1"/>
    <col min="2050" max="2050" width="10.6640625" style="295" customWidth="1"/>
    <col min="2051" max="2051" width="3.6640625" style="295" customWidth="1"/>
    <col min="2052" max="2052" width="10.6640625" style="295" customWidth="1"/>
    <col min="2053" max="2053" width="3.6640625" style="295" customWidth="1"/>
    <col min="2054" max="2054" width="10.6640625" style="295" customWidth="1"/>
    <col min="2055" max="2055" width="3.6640625" style="295" customWidth="1"/>
    <col min="2056" max="2056" width="6.88671875" style="295" customWidth="1"/>
    <col min="2057" max="2057" width="3.6640625" style="295" customWidth="1"/>
    <col min="2058" max="2058" width="10.6640625" style="295" customWidth="1"/>
    <col min="2059" max="2061" width="3.6640625" style="295" customWidth="1"/>
    <col min="2062" max="2062" width="10.6640625" style="295" customWidth="1"/>
    <col min="2063" max="2063" width="3.6640625" style="295" customWidth="1"/>
    <col min="2064" max="2064" width="10.6640625" style="295" customWidth="1"/>
    <col min="2065" max="2065" width="3.6640625" style="295" customWidth="1"/>
    <col min="2066" max="2066" width="10.6640625" style="295" customWidth="1"/>
    <col min="2067" max="2067" width="3.6640625" style="295" customWidth="1"/>
    <col min="2068" max="2068" width="10.6640625" style="295" customWidth="1"/>
    <col min="2069" max="2069" width="3.6640625" style="295" customWidth="1"/>
    <col min="2070" max="2070" width="10.6640625" style="295" customWidth="1"/>
    <col min="2071" max="2071" width="3.6640625" style="295" customWidth="1"/>
    <col min="2072" max="2072" width="10.6640625" style="295" customWidth="1"/>
    <col min="2073" max="2073" width="3.6640625" style="295" customWidth="1"/>
    <col min="2074" max="2074" width="4.6640625" style="295" customWidth="1"/>
    <col min="2075" max="2075" width="7.6640625" style="295" customWidth="1"/>
    <col min="2076" max="2076" width="1.6640625" style="295" customWidth="1"/>
    <col min="2077" max="2077" width="7.6640625" style="295" customWidth="1"/>
    <col min="2078" max="2078" width="1.6640625" style="295" customWidth="1"/>
    <col min="2079" max="2079" width="7.6640625" style="295" customWidth="1"/>
    <col min="2080" max="2080" width="1.6640625" style="295" customWidth="1"/>
    <col min="2081" max="2081" width="7.6640625" style="295" customWidth="1"/>
    <col min="2082" max="2082" width="1.6640625" style="295" customWidth="1"/>
    <col min="2083" max="2083" width="4.6640625" style="295" customWidth="1"/>
    <col min="2084" max="2084" width="1.6640625" style="295" customWidth="1"/>
    <col min="2085" max="2085" width="4.6640625" style="295" customWidth="1"/>
    <col min="2086" max="2086" width="1.6640625" style="295" customWidth="1"/>
    <col min="2087" max="2087" width="7.6640625" style="295" customWidth="1"/>
    <col min="2088" max="2088" width="1.6640625" style="295" customWidth="1"/>
    <col min="2089" max="2089" width="7.6640625" style="295" customWidth="1"/>
    <col min="2090" max="2091" width="1.6640625" style="295" customWidth="1"/>
    <col min="2092" max="2092" width="5.6640625" style="295" customWidth="1"/>
    <col min="2093" max="2093" width="9.6640625" style="295" customWidth="1"/>
    <col min="2094" max="2094" width="1.6640625" style="295" customWidth="1"/>
    <col min="2095" max="2095" width="9.6640625" style="295" customWidth="1"/>
    <col min="2096" max="2096" width="1.6640625" style="295" customWidth="1"/>
    <col min="2097" max="2097" width="9.6640625" style="295" customWidth="1"/>
    <col min="2098" max="2098" width="1.6640625" style="295" customWidth="1"/>
    <col min="2099" max="2099" width="9.6640625" style="295" customWidth="1"/>
    <col min="2100" max="2100" width="1.6640625" style="295" customWidth="1"/>
    <col min="2101" max="2101" width="8.6640625" style="295" customWidth="1"/>
    <col min="2102" max="2102" width="1.6640625" style="295" customWidth="1"/>
    <col min="2103" max="2103" width="8.6640625" style="295" customWidth="1"/>
    <col min="2104" max="2105" width="1.6640625" style="295" customWidth="1"/>
    <col min="2106" max="2106" width="3.6640625" style="295" customWidth="1"/>
    <col min="2107" max="2107" width="10.6640625" style="295" customWidth="1"/>
    <col min="2108" max="2108" width="1.6640625" style="295" customWidth="1"/>
    <col min="2109" max="2109" width="10.6640625" style="295" customWidth="1"/>
    <col min="2110" max="2110" width="1.6640625" style="295" customWidth="1"/>
    <col min="2111" max="2111" width="10.6640625" style="295" customWidth="1"/>
    <col min="2112" max="2112" width="1.6640625" style="295" customWidth="1"/>
    <col min="2113" max="2113" width="4.6640625" style="295" customWidth="1"/>
    <col min="2114" max="2126" width="9.109375" style="295"/>
    <col min="2127" max="2127" width="18.44140625" style="295" bestFit="1" customWidth="1"/>
    <col min="2128" max="2128" width="9.109375" style="295"/>
    <col min="2129" max="2129" width="2.6640625" style="295" customWidth="1"/>
    <col min="2130" max="2130" width="12.6640625" style="295" customWidth="1"/>
    <col min="2131" max="2302" width="9.109375" style="295"/>
    <col min="2303" max="2303" width="17.88671875" style="295" customWidth="1"/>
    <col min="2304" max="2304" width="9.44140625" style="295" bestFit="1" customWidth="1"/>
    <col min="2305" max="2305" width="3.6640625" style="295" customWidth="1"/>
    <col min="2306" max="2306" width="10.6640625" style="295" customWidth="1"/>
    <col min="2307" max="2307" width="3.6640625" style="295" customWidth="1"/>
    <col min="2308" max="2308" width="10.6640625" style="295" customWidth="1"/>
    <col min="2309" max="2309" width="3.6640625" style="295" customWidth="1"/>
    <col min="2310" max="2310" width="10.6640625" style="295" customWidth="1"/>
    <col min="2311" max="2311" width="3.6640625" style="295" customWidth="1"/>
    <col min="2312" max="2312" width="6.88671875" style="295" customWidth="1"/>
    <col min="2313" max="2313" width="3.6640625" style="295" customWidth="1"/>
    <col min="2314" max="2314" width="10.6640625" style="295" customWidth="1"/>
    <col min="2315" max="2317" width="3.6640625" style="295" customWidth="1"/>
    <col min="2318" max="2318" width="10.6640625" style="295" customWidth="1"/>
    <col min="2319" max="2319" width="3.6640625" style="295" customWidth="1"/>
    <col min="2320" max="2320" width="10.6640625" style="295" customWidth="1"/>
    <col min="2321" max="2321" width="3.6640625" style="295" customWidth="1"/>
    <col min="2322" max="2322" width="10.6640625" style="295" customWidth="1"/>
    <col min="2323" max="2323" width="3.6640625" style="295" customWidth="1"/>
    <col min="2324" max="2324" width="10.6640625" style="295" customWidth="1"/>
    <col min="2325" max="2325" width="3.6640625" style="295" customWidth="1"/>
    <col min="2326" max="2326" width="10.6640625" style="295" customWidth="1"/>
    <col min="2327" max="2327" width="3.6640625" style="295" customWidth="1"/>
    <col min="2328" max="2328" width="10.6640625" style="295" customWidth="1"/>
    <col min="2329" max="2329" width="3.6640625" style="295" customWidth="1"/>
    <col min="2330" max="2330" width="4.6640625" style="295" customWidth="1"/>
    <col min="2331" max="2331" width="7.6640625" style="295" customWidth="1"/>
    <col min="2332" max="2332" width="1.6640625" style="295" customWidth="1"/>
    <col min="2333" max="2333" width="7.6640625" style="295" customWidth="1"/>
    <col min="2334" max="2334" width="1.6640625" style="295" customWidth="1"/>
    <col min="2335" max="2335" width="7.6640625" style="295" customWidth="1"/>
    <col min="2336" max="2336" width="1.6640625" style="295" customWidth="1"/>
    <col min="2337" max="2337" width="7.6640625" style="295" customWidth="1"/>
    <col min="2338" max="2338" width="1.6640625" style="295" customWidth="1"/>
    <col min="2339" max="2339" width="4.6640625" style="295" customWidth="1"/>
    <col min="2340" max="2340" width="1.6640625" style="295" customWidth="1"/>
    <col min="2341" max="2341" width="4.6640625" style="295" customWidth="1"/>
    <col min="2342" max="2342" width="1.6640625" style="295" customWidth="1"/>
    <col min="2343" max="2343" width="7.6640625" style="295" customWidth="1"/>
    <col min="2344" max="2344" width="1.6640625" style="295" customWidth="1"/>
    <col min="2345" max="2345" width="7.6640625" style="295" customWidth="1"/>
    <col min="2346" max="2347" width="1.6640625" style="295" customWidth="1"/>
    <col min="2348" max="2348" width="5.6640625" style="295" customWidth="1"/>
    <col min="2349" max="2349" width="9.6640625" style="295" customWidth="1"/>
    <col min="2350" max="2350" width="1.6640625" style="295" customWidth="1"/>
    <col min="2351" max="2351" width="9.6640625" style="295" customWidth="1"/>
    <col min="2352" max="2352" width="1.6640625" style="295" customWidth="1"/>
    <col min="2353" max="2353" width="9.6640625" style="295" customWidth="1"/>
    <col min="2354" max="2354" width="1.6640625" style="295" customWidth="1"/>
    <col min="2355" max="2355" width="9.6640625" style="295" customWidth="1"/>
    <col min="2356" max="2356" width="1.6640625" style="295" customWidth="1"/>
    <col min="2357" max="2357" width="8.6640625" style="295" customWidth="1"/>
    <col min="2358" max="2358" width="1.6640625" style="295" customWidth="1"/>
    <col min="2359" max="2359" width="8.6640625" style="295" customWidth="1"/>
    <col min="2360" max="2361" width="1.6640625" style="295" customWidth="1"/>
    <col min="2362" max="2362" width="3.6640625" style="295" customWidth="1"/>
    <col min="2363" max="2363" width="10.6640625" style="295" customWidth="1"/>
    <col min="2364" max="2364" width="1.6640625" style="295" customWidth="1"/>
    <col min="2365" max="2365" width="10.6640625" style="295" customWidth="1"/>
    <col min="2366" max="2366" width="1.6640625" style="295" customWidth="1"/>
    <col min="2367" max="2367" width="10.6640625" style="295" customWidth="1"/>
    <col min="2368" max="2368" width="1.6640625" style="295" customWidth="1"/>
    <col min="2369" max="2369" width="4.6640625" style="295" customWidth="1"/>
    <col min="2370" max="2382" width="9.109375" style="295"/>
    <col min="2383" max="2383" width="18.44140625" style="295" bestFit="1" customWidth="1"/>
    <col min="2384" max="2384" width="9.109375" style="295"/>
    <col min="2385" max="2385" width="2.6640625" style="295" customWidth="1"/>
    <col min="2386" max="2386" width="12.6640625" style="295" customWidth="1"/>
    <col min="2387" max="2558" width="9.109375" style="295"/>
    <col min="2559" max="2559" width="17.88671875" style="295" customWidth="1"/>
    <col min="2560" max="2560" width="9.44140625" style="295" bestFit="1" customWidth="1"/>
    <col min="2561" max="2561" width="3.6640625" style="295" customWidth="1"/>
    <col min="2562" max="2562" width="10.6640625" style="295" customWidth="1"/>
    <col min="2563" max="2563" width="3.6640625" style="295" customWidth="1"/>
    <col min="2564" max="2564" width="10.6640625" style="295" customWidth="1"/>
    <col min="2565" max="2565" width="3.6640625" style="295" customWidth="1"/>
    <col min="2566" max="2566" width="10.6640625" style="295" customWidth="1"/>
    <col min="2567" max="2567" width="3.6640625" style="295" customWidth="1"/>
    <col min="2568" max="2568" width="6.88671875" style="295" customWidth="1"/>
    <col min="2569" max="2569" width="3.6640625" style="295" customWidth="1"/>
    <col min="2570" max="2570" width="10.6640625" style="295" customWidth="1"/>
    <col min="2571" max="2573" width="3.6640625" style="295" customWidth="1"/>
    <col min="2574" max="2574" width="10.6640625" style="295" customWidth="1"/>
    <col min="2575" max="2575" width="3.6640625" style="295" customWidth="1"/>
    <col min="2576" max="2576" width="10.6640625" style="295" customWidth="1"/>
    <col min="2577" max="2577" width="3.6640625" style="295" customWidth="1"/>
    <col min="2578" max="2578" width="10.6640625" style="295" customWidth="1"/>
    <col min="2579" max="2579" width="3.6640625" style="295" customWidth="1"/>
    <col min="2580" max="2580" width="10.6640625" style="295" customWidth="1"/>
    <col min="2581" max="2581" width="3.6640625" style="295" customWidth="1"/>
    <col min="2582" max="2582" width="10.6640625" style="295" customWidth="1"/>
    <col min="2583" max="2583" width="3.6640625" style="295" customWidth="1"/>
    <col min="2584" max="2584" width="10.6640625" style="295" customWidth="1"/>
    <col min="2585" max="2585" width="3.6640625" style="295" customWidth="1"/>
    <col min="2586" max="2586" width="4.6640625" style="295" customWidth="1"/>
    <col min="2587" max="2587" width="7.6640625" style="295" customWidth="1"/>
    <col min="2588" max="2588" width="1.6640625" style="295" customWidth="1"/>
    <col min="2589" max="2589" width="7.6640625" style="295" customWidth="1"/>
    <col min="2590" max="2590" width="1.6640625" style="295" customWidth="1"/>
    <col min="2591" max="2591" width="7.6640625" style="295" customWidth="1"/>
    <col min="2592" max="2592" width="1.6640625" style="295" customWidth="1"/>
    <col min="2593" max="2593" width="7.6640625" style="295" customWidth="1"/>
    <col min="2594" max="2594" width="1.6640625" style="295" customWidth="1"/>
    <col min="2595" max="2595" width="4.6640625" style="295" customWidth="1"/>
    <col min="2596" max="2596" width="1.6640625" style="295" customWidth="1"/>
    <col min="2597" max="2597" width="4.6640625" style="295" customWidth="1"/>
    <col min="2598" max="2598" width="1.6640625" style="295" customWidth="1"/>
    <col min="2599" max="2599" width="7.6640625" style="295" customWidth="1"/>
    <col min="2600" max="2600" width="1.6640625" style="295" customWidth="1"/>
    <col min="2601" max="2601" width="7.6640625" style="295" customWidth="1"/>
    <col min="2602" max="2603" width="1.6640625" style="295" customWidth="1"/>
    <col min="2604" max="2604" width="5.6640625" style="295" customWidth="1"/>
    <col min="2605" max="2605" width="9.6640625" style="295" customWidth="1"/>
    <col min="2606" max="2606" width="1.6640625" style="295" customWidth="1"/>
    <col min="2607" max="2607" width="9.6640625" style="295" customWidth="1"/>
    <col min="2608" max="2608" width="1.6640625" style="295" customWidth="1"/>
    <col min="2609" max="2609" width="9.6640625" style="295" customWidth="1"/>
    <col min="2610" max="2610" width="1.6640625" style="295" customWidth="1"/>
    <col min="2611" max="2611" width="9.6640625" style="295" customWidth="1"/>
    <col min="2612" max="2612" width="1.6640625" style="295" customWidth="1"/>
    <col min="2613" max="2613" width="8.6640625" style="295" customWidth="1"/>
    <col min="2614" max="2614" width="1.6640625" style="295" customWidth="1"/>
    <col min="2615" max="2615" width="8.6640625" style="295" customWidth="1"/>
    <col min="2616" max="2617" width="1.6640625" style="295" customWidth="1"/>
    <col min="2618" max="2618" width="3.6640625" style="295" customWidth="1"/>
    <col min="2619" max="2619" width="10.6640625" style="295" customWidth="1"/>
    <col min="2620" max="2620" width="1.6640625" style="295" customWidth="1"/>
    <col min="2621" max="2621" width="10.6640625" style="295" customWidth="1"/>
    <col min="2622" max="2622" width="1.6640625" style="295" customWidth="1"/>
    <col min="2623" max="2623" width="10.6640625" style="295" customWidth="1"/>
    <col min="2624" max="2624" width="1.6640625" style="295" customWidth="1"/>
    <col min="2625" max="2625" width="4.6640625" style="295" customWidth="1"/>
    <col min="2626" max="2638" width="9.109375" style="295"/>
    <col min="2639" max="2639" width="18.44140625" style="295" bestFit="1" customWidth="1"/>
    <col min="2640" max="2640" width="9.109375" style="295"/>
    <col min="2641" max="2641" width="2.6640625" style="295" customWidth="1"/>
    <col min="2642" max="2642" width="12.6640625" style="295" customWidth="1"/>
    <col min="2643" max="2814" width="9.109375" style="295"/>
    <col min="2815" max="2815" width="17.88671875" style="295" customWidth="1"/>
    <col min="2816" max="2816" width="9.44140625" style="295" bestFit="1" customWidth="1"/>
    <col min="2817" max="2817" width="3.6640625" style="295" customWidth="1"/>
    <col min="2818" max="2818" width="10.6640625" style="295" customWidth="1"/>
    <col min="2819" max="2819" width="3.6640625" style="295" customWidth="1"/>
    <col min="2820" max="2820" width="10.6640625" style="295" customWidth="1"/>
    <col min="2821" max="2821" width="3.6640625" style="295" customWidth="1"/>
    <col min="2822" max="2822" width="10.6640625" style="295" customWidth="1"/>
    <col min="2823" max="2823" width="3.6640625" style="295" customWidth="1"/>
    <col min="2824" max="2824" width="6.88671875" style="295" customWidth="1"/>
    <col min="2825" max="2825" width="3.6640625" style="295" customWidth="1"/>
    <col min="2826" max="2826" width="10.6640625" style="295" customWidth="1"/>
    <col min="2827" max="2829" width="3.6640625" style="295" customWidth="1"/>
    <col min="2830" max="2830" width="10.6640625" style="295" customWidth="1"/>
    <col min="2831" max="2831" width="3.6640625" style="295" customWidth="1"/>
    <col min="2832" max="2832" width="10.6640625" style="295" customWidth="1"/>
    <col min="2833" max="2833" width="3.6640625" style="295" customWidth="1"/>
    <col min="2834" max="2834" width="10.6640625" style="295" customWidth="1"/>
    <col min="2835" max="2835" width="3.6640625" style="295" customWidth="1"/>
    <col min="2836" max="2836" width="10.6640625" style="295" customWidth="1"/>
    <col min="2837" max="2837" width="3.6640625" style="295" customWidth="1"/>
    <col min="2838" max="2838" width="10.6640625" style="295" customWidth="1"/>
    <col min="2839" max="2839" width="3.6640625" style="295" customWidth="1"/>
    <col min="2840" max="2840" width="10.6640625" style="295" customWidth="1"/>
    <col min="2841" max="2841" width="3.6640625" style="295" customWidth="1"/>
    <col min="2842" max="2842" width="4.6640625" style="295" customWidth="1"/>
    <col min="2843" max="2843" width="7.6640625" style="295" customWidth="1"/>
    <col min="2844" max="2844" width="1.6640625" style="295" customWidth="1"/>
    <col min="2845" max="2845" width="7.6640625" style="295" customWidth="1"/>
    <col min="2846" max="2846" width="1.6640625" style="295" customWidth="1"/>
    <col min="2847" max="2847" width="7.6640625" style="295" customWidth="1"/>
    <col min="2848" max="2848" width="1.6640625" style="295" customWidth="1"/>
    <col min="2849" max="2849" width="7.6640625" style="295" customWidth="1"/>
    <col min="2850" max="2850" width="1.6640625" style="295" customWidth="1"/>
    <col min="2851" max="2851" width="4.6640625" style="295" customWidth="1"/>
    <col min="2852" max="2852" width="1.6640625" style="295" customWidth="1"/>
    <col min="2853" max="2853" width="4.6640625" style="295" customWidth="1"/>
    <col min="2854" max="2854" width="1.6640625" style="295" customWidth="1"/>
    <col min="2855" max="2855" width="7.6640625" style="295" customWidth="1"/>
    <col min="2856" max="2856" width="1.6640625" style="295" customWidth="1"/>
    <col min="2857" max="2857" width="7.6640625" style="295" customWidth="1"/>
    <col min="2858" max="2859" width="1.6640625" style="295" customWidth="1"/>
    <col min="2860" max="2860" width="5.6640625" style="295" customWidth="1"/>
    <col min="2861" max="2861" width="9.6640625" style="295" customWidth="1"/>
    <col min="2862" max="2862" width="1.6640625" style="295" customWidth="1"/>
    <col min="2863" max="2863" width="9.6640625" style="295" customWidth="1"/>
    <col min="2864" max="2864" width="1.6640625" style="295" customWidth="1"/>
    <col min="2865" max="2865" width="9.6640625" style="295" customWidth="1"/>
    <col min="2866" max="2866" width="1.6640625" style="295" customWidth="1"/>
    <col min="2867" max="2867" width="9.6640625" style="295" customWidth="1"/>
    <col min="2868" max="2868" width="1.6640625" style="295" customWidth="1"/>
    <col min="2869" max="2869" width="8.6640625" style="295" customWidth="1"/>
    <col min="2870" max="2870" width="1.6640625" style="295" customWidth="1"/>
    <col min="2871" max="2871" width="8.6640625" style="295" customWidth="1"/>
    <col min="2872" max="2873" width="1.6640625" style="295" customWidth="1"/>
    <col min="2874" max="2874" width="3.6640625" style="295" customWidth="1"/>
    <col min="2875" max="2875" width="10.6640625" style="295" customWidth="1"/>
    <col min="2876" max="2876" width="1.6640625" style="295" customWidth="1"/>
    <col min="2877" max="2877" width="10.6640625" style="295" customWidth="1"/>
    <col min="2878" max="2878" width="1.6640625" style="295" customWidth="1"/>
    <col min="2879" max="2879" width="10.6640625" style="295" customWidth="1"/>
    <col min="2880" max="2880" width="1.6640625" style="295" customWidth="1"/>
    <col min="2881" max="2881" width="4.6640625" style="295" customWidth="1"/>
    <col min="2882" max="2894" width="9.109375" style="295"/>
    <col min="2895" max="2895" width="18.44140625" style="295" bestFit="1" customWidth="1"/>
    <col min="2896" max="2896" width="9.109375" style="295"/>
    <col min="2897" max="2897" width="2.6640625" style="295" customWidth="1"/>
    <col min="2898" max="2898" width="12.6640625" style="295" customWidth="1"/>
    <col min="2899" max="3070" width="9.109375" style="295"/>
    <col min="3071" max="3071" width="17.88671875" style="295" customWidth="1"/>
    <col min="3072" max="3072" width="9.44140625" style="295" bestFit="1" customWidth="1"/>
    <col min="3073" max="3073" width="3.6640625" style="295" customWidth="1"/>
    <col min="3074" max="3074" width="10.6640625" style="295" customWidth="1"/>
    <col min="3075" max="3075" width="3.6640625" style="295" customWidth="1"/>
    <col min="3076" max="3076" width="10.6640625" style="295" customWidth="1"/>
    <col min="3077" max="3077" width="3.6640625" style="295" customWidth="1"/>
    <col min="3078" max="3078" width="10.6640625" style="295" customWidth="1"/>
    <col min="3079" max="3079" width="3.6640625" style="295" customWidth="1"/>
    <col min="3080" max="3080" width="6.88671875" style="295" customWidth="1"/>
    <col min="3081" max="3081" width="3.6640625" style="295" customWidth="1"/>
    <col min="3082" max="3082" width="10.6640625" style="295" customWidth="1"/>
    <col min="3083" max="3085" width="3.6640625" style="295" customWidth="1"/>
    <col min="3086" max="3086" width="10.6640625" style="295" customWidth="1"/>
    <col min="3087" max="3087" width="3.6640625" style="295" customWidth="1"/>
    <col min="3088" max="3088" width="10.6640625" style="295" customWidth="1"/>
    <col min="3089" max="3089" width="3.6640625" style="295" customWidth="1"/>
    <col min="3090" max="3090" width="10.6640625" style="295" customWidth="1"/>
    <col min="3091" max="3091" width="3.6640625" style="295" customWidth="1"/>
    <col min="3092" max="3092" width="10.6640625" style="295" customWidth="1"/>
    <col min="3093" max="3093" width="3.6640625" style="295" customWidth="1"/>
    <col min="3094" max="3094" width="10.6640625" style="295" customWidth="1"/>
    <col min="3095" max="3095" width="3.6640625" style="295" customWidth="1"/>
    <col min="3096" max="3096" width="10.6640625" style="295" customWidth="1"/>
    <col min="3097" max="3097" width="3.6640625" style="295" customWidth="1"/>
    <col min="3098" max="3098" width="4.6640625" style="295" customWidth="1"/>
    <col min="3099" max="3099" width="7.6640625" style="295" customWidth="1"/>
    <col min="3100" max="3100" width="1.6640625" style="295" customWidth="1"/>
    <col min="3101" max="3101" width="7.6640625" style="295" customWidth="1"/>
    <col min="3102" max="3102" width="1.6640625" style="295" customWidth="1"/>
    <col min="3103" max="3103" width="7.6640625" style="295" customWidth="1"/>
    <col min="3104" max="3104" width="1.6640625" style="295" customWidth="1"/>
    <col min="3105" max="3105" width="7.6640625" style="295" customWidth="1"/>
    <col min="3106" max="3106" width="1.6640625" style="295" customWidth="1"/>
    <col min="3107" max="3107" width="4.6640625" style="295" customWidth="1"/>
    <col min="3108" max="3108" width="1.6640625" style="295" customWidth="1"/>
    <col min="3109" max="3109" width="4.6640625" style="295" customWidth="1"/>
    <col min="3110" max="3110" width="1.6640625" style="295" customWidth="1"/>
    <col min="3111" max="3111" width="7.6640625" style="295" customWidth="1"/>
    <col min="3112" max="3112" width="1.6640625" style="295" customWidth="1"/>
    <col min="3113" max="3113" width="7.6640625" style="295" customWidth="1"/>
    <col min="3114" max="3115" width="1.6640625" style="295" customWidth="1"/>
    <col min="3116" max="3116" width="5.6640625" style="295" customWidth="1"/>
    <col min="3117" max="3117" width="9.6640625" style="295" customWidth="1"/>
    <col min="3118" max="3118" width="1.6640625" style="295" customWidth="1"/>
    <col min="3119" max="3119" width="9.6640625" style="295" customWidth="1"/>
    <col min="3120" max="3120" width="1.6640625" style="295" customWidth="1"/>
    <col min="3121" max="3121" width="9.6640625" style="295" customWidth="1"/>
    <col min="3122" max="3122" width="1.6640625" style="295" customWidth="1"/>
    <col min="3123" max="3123" width="9.6640625" style="295" customWidth="1"/>
    <col min="3124" max="3124" width="1.6640625" style="295" customWidth="1"/>
    <col min="3125" max="3125" width="8.6640625" style="295" customWidth="1"/>
    <col min="3126" max="3126" width="1.6640625" style="295" customWidth="1"/>
    <col min="3127" max="3127" width="8.6640625" style="295" customWidth="1"/>
    <col min="3128" max="3129" width="1.6640625" style="295" customWidth="1"/>
    <col min="3130" max="3130" width="3.6640625" style="295" customWidth="1"/>
    <col min="3131" max="3131" width="10.6640625" style="295" customWidth="1"/>
    <col min="3132" max="3132" width="1.6640625" style="295" customWidth="1"/>
    <col min="3133" max="3133" width="10.6640625" style="295" customWidth="1"/>
    <col min="3134" max="3134" width="1.6640625" style="295" customWidth="1"/>
    <col min="3135" max="3135" width="10.6640625" style="295" customWidth="1"/>
    <col min="3136" max="3136" width="1.6640625" style="295" customWidth="1"/>
    <col min="3137" max="3137" width="4.6640625" style="295" customWidth="1"/>
    <col min="3138" max="3150" width="9.109375" style="295"/>
    <col min="3151" max="3151" width="18.44140625" style="295" bestFit="1" customWidth="1"/>
    <col min="3152" max="3152" width="9.109375" style="295"/>
    <col min="3153" max="3153" width="2.6640625" style="295" customWidth="1"/>
    <col min="3154" max="3154" width="12.6640625" style="295" customWidth="1"/>
    <col min="3155" max="3326" width="9.109375" style="295"/>
    <col min="3327" max="3327" width="17.88671875" style="295" customWidth="1"/>
    <col min="3328" max="3328" width="9.44140625" style="295" bestFit="1" customWidth="1"/>
    <col min="3329" max="3329" width="3.6640625" style="295" customWidth="1"/>
    <col min="3330" max="3330" width="10.6640625" style="295" customWidth="1"/>
    <col min="3331" max="3331" width="3.6640625" style="295" customWidth="1"/>
    <col min="3332" max="3332" width="10.6640625" style="295" customWidth="1"/>
    <col min="3333" max="3333" width="3.6640625" style="295" customWidth="1"/>
    <col min="3334" max="3334" width="10.6640625" style="295" customWidth="1"/>
    <col min="3335" max="3335" width="3.6640625" style="295" customWidth="1"/>
    <col min="3336" max="3336" width="6.88671875" style="295" customWidth="1"/>
    <col min="3337" max="3337" width="3.6640625" style="295" customWidth="1"/>
    <col min="3338" max="3338" width="10.6640625" style="295" customWidth="1"/>
    <col min="3339" max="3341" width="3.6640625" style="295" customWidth="1"/>
    <col min="3342" max="3342" width="10.6640625" style="295" customWidth="1"/>
    <col min="3343" max="3343" width="3.6640625" style="295" customWidth="1"/>
    <col min="3344" max="3344" width="10.6640625" style="295" customWidth="1"/>
    <col min="3345" max="3345" width="3.6640625" style="295" customWidth="1"/>
    <col min="3346" max="3346" width="10.6640625" style="295" customWidth="1"/>
    <col min="3347" max="3347" width="3.6640625" style="295" customWidth="1"/>
    <col min="3348" max="3348" width="10.6640625" style="295" customWidth="1"/>
    <col min="3349" max="3349" width="3.6640625" style="295" customWidth="1"/>
    <col min="3350" max="3350" width="10.6640625" style="295" customWidth="1"/>
    <col min="3351" max="3351" width="3.6640625" style="295" customWidth="1"/>
    <col min="3352" max="3352" width="10.6640625" style="295" customWidth="1"/>
    <col min="3353" max="3353" width="3.6640625" style="295" customWidth="1"/>
    <col min="3354" max="3354" width="4.6640625" style="295" customWidth="1"/>
    <col min="3355" max="3355" width="7.6640625" style="295" customWidth="1"/>
    <col min="3356" max="3356" width="1.6640625" style="295" customWidth="1"/>
    <col min="3357" max="3357" width="7.6640625" style="295" customWidth="1"/>
    <col min="3358" max="3358" width="1.6640625" style="295" customWidth="1"/>
    <col min="3359" max="3359" width="7.6640625" style="295" customWidth="1"/>
    <col min="3360" max="3360" width="1.6640625" style="295" customWidth="1"/>
    <col min="3361" max="3361" width="7.6640625" style="295" customWidth="1"/>
    <col min="3362" max="3362" width="1.6640625" style="295" customWidth="1"/>
    <col min="3363" max="3363" width="4.6640625" style="295" customWidth="1"/>
    <col min="3364" max="3364" width="1.6640625" style="295" customWidth="1"/>
    <col min="3365" max="3365" width="4.6640625" style="295" customWidth="1"/>
    <col min="3366" max="3366" width="1.6640625" style="295" customWidth="1"/>
    <col min="3367" max="3367" width="7.6640625" style="295" customWidth="1"/>
    <col min="3368" max="3368" width="1.6640625" style="295" customWidth="1"/>
    <col min="3369" max="3369" width="7.6640625" style="295" customWidth="1"/>
    <col min="3370" max="3371" width="1.6640625" style="295" customWidth="1"/>
    <col min="3372" max="3372" width="5.6640625" style="295" customWidth="1"/>
    <col min="3373" max="3373" width="9.6640625" style="295" customWidth="1"/>
    <col min="3374" max="3374" width="1.6640625" style="295" customWidth="1"/>
    <col min="3375" max="3375" width="9.6640625" style="295" customWidth="1"/>
    <col min="3376" max="3376" width="1.6640625" style="295" customWidth="1"/>
    <col min="3377" max="3377" width="9.6640625" style="295" customWidth="1"/>
    <col min="3378" max="3378" width="1.6640625" style="295" customWidth="1"/>
    <col min="3379" max="3379" width="9.6640625" style="295" customWidth="1"/>
    <col min="3380" max="3380" width="1.6640625" style="295" customWidth="1"/>
    <col min="3381" max="3381" width="8.6640625" style="295" customWidth="1"/>
    <col min="3382" max="3382" width="1.6640625" style="295" customWidth="1"/>
    <col min="3383" max="3383" width="8.6640625" style="295" customWidth="1"/>
    <col min="3384" max="3385" width="1.6640625" style="295" customWidth="1"/>
    <col min="3386" max="3386" width="3.6640625" style="295" customWidth="1"/>
    <col min="3387" max="3387" width="10.6640625" style="295" customWidth="1"/>
    <col min="3388" max="3388" width="1.6640625" style="295" customWidth="1"/>
    <col min="3389" max="3389" width="10.6640625" style="295" customWidth="1"/>
    <col min="3390" max="3390" width="1.6640625" style="295" customWidth="1"/>
    <col min="3391" max="3391" width="10.6640625" style="295" customWidth="1"/>
    <col min="3392" max="3392" width="1.6640625" style="295" customWidth="1"/>
    <col min="3393" max="3393" width="4.6640625" style="295" customWidth="1"/>
    <col min="3394" max="3406" width="9.109375" style="295"/>
    <col min="3407" max="3407" width="18.44140625" style="295" bestFit="1" customWidth="1"/>
    <col min="3408" max="3408" width="9.109375" style="295"/>
    <col min="3409" max="3409" width="2.6640625" style="295" customWidth="1"/>
    <col min="3410" max="3410" width="12.6640625" style="295" customWidth="1"/>
    <col min="3411" max="3582" width="9.109375" style="295"/>
    <col min="3583" max="3583" width="17.88671875" style="295" customWidth="1"/>
    <col min="3584" max="3584" width="9.44140625" style="295" bestFit="1" customWidth="1"/>
    <col min="3585" max="3585" width="3.6640625" style="295" customWidth="1"/>
    <col min="3586" max="3586" width="10.6640625" style="295" customWidth="1"/>
    <col min="3587" max="3587" width="3.6640625" style="295" customWidth="1"/>
    <col min="3588" max="3588" width="10.6640625" style="295" customWidth="1"/>
    <col min="3589" max="3589" width="3.6640625" style="295" customWidth="1"/>
    <col min="3590" max="3590" width="10.6640625" style="295" customWidth="1"/>
    <col min="3591" max="3591" width="3.6640625" style="295" customWidth="1"/>
    <col min="3592" max="3592" width="6.88671875" style="295" customWidth="1"/>
    <col min="3593" max="3593" width="3.6640625" style="295" customWidth="1"/>
    <col min="3594" max="3594" width="10.6640625" style="295" customWidth="1"/>
    <col min="3595" max="3597" width="3.6640625" style="295" customWidth="1"/>
    <col min="3598" max="3598" width="10.6640625" style="295" customWidth="1"/>
    <col min="3599" max="3599" width="3.6640625" style="295" customWidth="1"/>
    <col min="3600" max="3600" width="10.6640625" style="295" customWidth="1"/>
    <col min="3601" max="3601" width="3.6640625" style="295" customWidth="1"/>
    <col min="3602" max="3602" width="10.6640625" style="295" customWidth="1"/>
    <col min="3603" max="3603" width="3.6640625" style="295" customWidth="1"/>
    <col min="3604" max="3604" width="10.6640625" style="295" customWidth="1"/>
    <col min="3605" max="3605" width="3.6640625" style="295" customWidth="1"/>
    <col min="3606" max="3606" width="10.6640625" style="295" customWidth="1"/>
    <col min="3607" max="3607" width="3.6640625" style="295" customWidth="1"/>
    <col min="3608" max="3608" width="10.6640625" style="295" customWidth="1"/>
    <col min="3609" max="3609" width="3.6640625" style="295" customWidth="1"/>
    <col min="3610" max="3610" width="4.6640625" style="295" customWidth="1"/>
    <col min="3611" max="3611" width="7.6640625" style="295" customWidth="1"/>
    <col min="3612" max="3612" width="1.6640625" style="295" customWidth="1"/>
    <col min="3613" max="3613" width="7.6640625" style="295" customWidth="1"/>
    <col min="3614" max="3614" width="1.6640625" style="295" customWidth="1"/>
    <col min="3615" max="3615" width="7.6640625" style="295" customWidth="1"/>
    <col min="3616" max="3616" width="1.6640625" style="295" customWidth="1"/>
    <col min="3617" max="3617" width="7.6640625" style="295" customWidth="1"/>
    <col min="3618" max="3618" width="1.6640625" style="295" customWidth="1"/>
    <col min="3619" max="3619" width="4.6640625" style="295" customWidth="1"/>
    <col min="3620" max="3620" width="1.6640625" style="295" customWidth="1"/>
    <col min="3621" max="3621" width="4.6640625" style="295" customWidth="1"/>
    <col min="3622" max="3622" width="1.6640625" style="295" customWidth="1"/>
    <col min="3623" max="3623" width="7.6640625" style="295" customWidth="1"/>
    <col min="3624" max="3624" width="1.6640625" style="295" customWidth="1"/>
    <col min="3625" max="3625" width="7.6640625" style="295" customWidth="1"/>
    <col min="3626" max="3627" width="1.6640625" style="295" customWidth="1"/>
    <col min="3628" max="3628" width="5.6640625" style="295" customWidth="1"/>
    <col min="3629" max="3629" width="9.6640625" style="295" customWidth="1"/>
    <col min="3630" max="3630" width="1.6640625" style="295" customWidth="1"/>
    <col min="3631" max="3631" width="9.6640625" style="295" customWidth="1"/>
    <col min="3632" max="3632" width="1.6640625" style="295" customWidth="1"/>
    <col min="3633" max="3633" width="9.6640625" style="295" customWidth="1"/>
    <col min="3634" max="3634" width="1.6640625" style="295" customWidth="1"/>
    <col min="3635" max="3635" width="9.6640625" style="295" customWidth="1"/>
    <col min="3636" max="3636" width="1.6640625" style="295" customWidth="1"/>
    <col min="3637" max="3637" width="8.6640625" style="295" customWidth="1"/>
    <col min="3638" max="3638" width="1.6640625" style="295" customWidth="1"/>
    <col min="3639" max="3639" width="8.6640625" style="295" customWidth="1"/>
    <col min="3640" max="3641" width="1.6640625" style="295" customWidth="1"/>
    <col min="3642" max="3642" width="3.6640625" style="295" customWidth="1"/>
    <col min="3643" max="3643" width="10.6640625" style="295" customWidth="1"/>
    <col min="3644" max="3644" width="1.6640625" style="295" customWidth="1"/>
    <col min="3645" max="3645" width="10.6640625" style="295" customWidth="1"/>
    <col min="3646" max="3646" width="1.6640625" style="295" customWidth="1"/>
    <col min="3647" max="3647" width="10.6640625" style="295" customWidth="1"/>
    <col min="3648" max="3648" width="1.6640625" style="295" customWidth="1"/>
    <col min="3649" max="3649" width="4.6640625" style="295" customWidth="1"/>
    <col min="3650" max="3662" width="9.109375" style="295"/>
    <col min="3663" max="3663" width="18.44140625" style="295" bestFit="1" customWidth="1"/>
    <col min="3664" max="3664" width="9.109375" style="295"/>
    <col min="3665" max="3665" width="2.6640625" style="295" customWidth="1"/>
    <col min="3666" max="3666" width="12.6640625" style="295" customWidth="1"/>
    <col min="3667" max="3838" width="9.109375" style="295"/>
    <col min="3839" max="3839" width="17.88671875" style="295" customWidth="1"/>
    <col min="3840" max="3840" width="9.44140625" style="295" bestFit="1" customWidth="1"/>
    <col min="3841" max="3841" width="3.6640625" style="295" customWidth="1"/>
    <col min="3842" max="3842" width="10.6640625" style="295" customWidth="1"/>
    <col min="3843" max="3843" width="3.6640625" style="295" customWidth="1"/>
    <col min="3844" max="3844" width="10.6640625" style="295" customWidth="1"/>
    <col min="3845" max="3845" width="3.6640625" style="295" customWidth="1"/>
    <col min="3846" max="3846" width="10.6640625" style="295" customWidth="1"/>
    <col min="3847" max="3847" width="3.6640625" style="295" customWidth="1"/>
    <col min="3848" max="3848" width="6.88671875" style="295" customWidth="1"/>
    <col min="3849" max="3849" width="3.6640625" style="295" customWidth="1"/>
    <col min="3850" max="3850" width="10.6640625" style="295" customWidth="1"/>
    <col min="3851" max="3853" width="3.6640625" style="295" customWidth="1"/>
    <col min="3854" max="3854" width="10.6640625" style="295" customWidth="1"/>
    <col min="3855" max="3855" width="3.6640625" style="295" customWidth="1"/>
    <col min="3856" max="3856" width="10.6640625" style="295" customWidth="1"/>
    <col min="3857" max="3857" width="3.6640625" style="295" customWidth="1"/>
    <col min="3858" max="3858" width="10.6640625" style="295" customWidth="1"/>
    <col min="3859" max="3859" width="3.6640625" style="295" customWidth="1"/>
    <col min="3860" max="3860" width="10.6640625" style="295" customWidth="1"/>
    <col min="3861" max="3861" width="3.6640625" style="295" customWidth="1"/>
    <col min="3862" max="3862" width="10.6640625" style="295" customWidth="1"/>
    <col min="3863" max="3863" width="3.6640625" style="295" customWidth="1"/>
    <col min="3864" max="3864" width="10.6640625" style="295" customWidth="1"/>
    <col min="3865" max="3865" width="3.6640625" style="295" customWidth="1"/>
    <col min="3866" max="3866" width="4.6640625" style="295" customWidth="1"/>
    <col min="3867" max="3867" width="7.6640625" style="295" customWidth="1"/>
    <col min="3868" max="3868" width="1.6640625" style="295" customWidth="1"/>
    <col min="3869" max="3869" width="7.6640625" style="295" customWidth="1"/>
    <col min="3870" max="3870" width="1.6640625" style="295" customWidth="1"/>
    <col min="3871" max="3871" width="7.6640625" style="295" customWidth="1"/>
    <col min="3872" max="3872" width="1.6640625" style="295" customWidth="1"/>
    <col min="3873" max="3873" width="7.6640625" style="295" customWidth="1"/>
    <col min="3874" max="3874" width="1.6640625" style="295" customWidth="1"/>
    <col min="3875" max="3875" width="4.6640625" style="295" customWidth="1"/>
    <col min="3876" max="3876" width="1.6640625" style="295" customWidth="1"/>
    <col min="3877" max="3877" width="4.6640625" style="295" customWidth="1"/>
    <col min="3878" max="3878" width="1.6640625" style="295" customWidth="1"/>
    <col min="3879" max="3879" width="7.6640625" style="295" customWidth="1"/>
    <col min="3880" max="3880" width="1.6640625" style="295" customWidth="1"/>
    <col min="3881" max="3881" width="7.6640625" style="295" customWidth="1"/>
    <col min="3882" max="3883" width="1.6640625" style="295" customWidth="1"/>
    <col min="3884" max="3884" width="5.6640625" style="295" customWidth="1"/>
    <col min="3885" max="3885" width="9.6640625" style="295" customWidth="1"/>
    <col min="3886" max="3886" width="1.6640625" style="295" customWidth="1"/>
    <col min="3887" max="3887" width="9.6640625" style="295" customWidth="1"/>
    <col min="3888" max="3888" width="1.6640625" style="295" customWidth="1"/>
    <col min="3889" max="3889" width="9.6640625" style="295" customWidth="1"/>
    <col min="3890" max="3890" width="1.6640625" style="295" customWidth="1"/>
    <col min="3891" max="3891" width="9.6640625" style="295" customWidth="1"/>
    <col min="3892" max="3892" width="1.6640625" style="295" customWidth="1"/>
    <col min="3893" max="3893" width="8.6640625" style="295" customWidth="1"/>
    <col min="3894" max="3894" width="1.6640625" style="295" customWidth="1"/>
    <col min="3895" max="3895" width="8.6640625" style="295" customWidth="1"/>
    <col min="3896" max="3897" width="1.6640625" style="295" customWidth="1"/>
    <col min="3898" max="3898" width="3.6640625" style="295" customWidth="1"/>
    <col min="3899" max="3899" width="10.6640625" style="295" customWidth="1"/>
    <col min="3900" max="3900" width="1.6640625" style="295" customWidth="1"/>
    <col min="3901" max="3901" width="10.6640625" style="295" customWidth="1"/>
    <col min="3902" max="3902" width="1.6640625" style="295" customWidth="1"/>
    <col min="3903" max="3903" width="10.6640625" style="295" customWidth="1"/>
    <col min="3904" max="3904" width="1.6640625" style="295" customWidth="1"/>
    <col min="3905" max="3905" width="4.6640625" style="295" customWidth="1"/>
    <col min="3906" max="3918" width="9.109375" style="295"/>
    <col min="3919" max="3919" width="18.44140625" style="295" bestFit="1" customWidth="1"/>
    <col min="3920" max="3920" width="9.109375" style="295"/>
    <col min="3921" max="3921" width="2.6640625" style="295" customWidth="1"/>
    <col min="3922" max="3922" width="12.6640625" style="295" customWidth="1"/>
    <col min="3923" max="4094" width="9.109375" style="295"/>
    <col min="4095" max="4095" width="17.88671875" style="295" customWidth="1"/>
    <col min="4096" max="4096" width="9.44140625" style="295" bestFit="1" customWidth="1"/>
    <col min="4097" max="4097" width="3.6640625" style="295" customWidth="1"/>
    <col min="4098" max="4098" width="10.6640625" style="295" customWidth="1"/>
    <col min="4099" max="4099" width="3.6640625" style="295" customWidth="1"/>
    <col min="4100" max="4100" width="10.6640625" style="295" customWidth="1"/>
    <col min="4101" max="4101" width="3.6640625" style="295" customWidth="1"/>
    <col min="4102" max="4102" width="10.6640625" style="295" customWidth="1"/>
    <col min="4103" max="4103" width="3.6640625" style="295" customWidth="1"/>
    <col min="4104" max="4104" width="6.88671875" style="295" customWidth="1"/>
    <col min="4105" max="4105" width="3.6640625" style="295" customWidth="1"/>
    <col min="4106" max="4106" width="10.6640625" style="295" customWidth="1"/>
    <col min="4107" max="4109" width="3.6640625" style="295" customWidth="1"/>
    <col min="4110" max="4110" width="10.6640625" style="295" customWidth="1"/>
    <col min="4111" max="4111" width="3.6640625" style="295" customWidth="1"/>
    <col min="4112" max="4112" width="10.6640625" style="295" customWidth="1"/>
    <col min="4113" max="4113" width="3.6640625" style="295" customWidth="1"/>
    <col min="4114" max="4114" width="10.6640625" style="295" customWidth="1"/>
    <col min="4115" max="4115" width="3.6640625" style="295" customWidth="1"/>
    <col min="4116" max="4116" width="10.6640625" style="295" customWidth="1"/>
    <col min="4117" max="4117" width="3.6640625" style="295" customWidth="1"/>
    <col min="4118" max="4118" width="10.6640625" style="295" customWidth="1"/>
    <col min="4119" max="4119" width="3.6640625" style="295" customWidth="1"/>
    <col min="4120" max="4120" width="10.6640625" style="295" customWidth="1"/>
    <col min="4121" max="4121" width="3.6640625" style="295" customWidth="1"/>
    <col min="4122" max="4122" width="4.6640625" style="295" customWidth="1"/>
    <col min="4123" max="4123" width="7.6640625" style="295" customWidth="1"/>
    <col min="4124" max="4124" width="1.6640625" style="295" customWidth="1"/>
    <col min="4125" max="4125" width="7.6640625" style="295" customWidth="1"/>
    <col min="4126" max="4126" width="1.6640625" style="295" customWidth="1"/>
    <col min="4127" max="4127" width="7.6640625" style="295" customWidth="1"/>
    <col min="4128" max="4128" width="1.6640625" style="295" customWidth="1"/>
    <col min="4129" max="4129" width="7.6640625" style="295" customWidth="1"/>
    <col min="4130" max="4130" width="1.6640625" style="295" customWidth="1"/>
    <col min="4131" max="4131" width="4.6640625" style="295" customWidth="1"/>
    <col min="4132" max="4132" width="1.6640625" style="295" customWidth="1"/>
    <col min="4133" max="4133" width="4.6640625" style="295" customWidth="1"/>
    <col min="4134" max="4134" width="1.6640625" style="295" customWidth="1"/>
    <col min="4135" max="4135" width="7.6640625" style="295" customWidth="1"/>
    <col min="4136" max="4136" width="1.6640625" style="295" customWidth="1"/>
    <col min="4137" max="4137" width="7.6640625" style="295" customWidth="1"/>
    <col min="4138" max="4139" width="1.6640625" style="295" customWidth="1"/>
    <col min="4140" max="4140" width="5.6640625" style="295" customWidth="1"/>
    <col min="4141" max="4141" width="9.6640625" style="295" customWidth="1"/>
    <col min="4142" max="4142" width="1.6640625" style="295" customWidth="1"/>
    <col min="4143" max="4143" width="9.6640625" style="295" customWidth="1"/>
    <col min="4144" max="4144" width="1.6640625" style="295" customWidth="1"/>
    <col min="4145" max="4145" width="9.6640625" style="295" customWidth="1"/>
    <col min="4146" max="4146" width="1.6640625" style="295" customWidth="1"/>
    <col min="4147" max="4147" width="9.6640625" style="295" customWidth="1"/>
    <col min="4148" max="4148" width="1.6640625" style="295" customWidth="1"/>
    <col min="4149" max="4149" width="8.6640625" style="295" customWidth="1"/>
    <col min="4150" max="4150" width="1.6640625" style="295" customWidth="1"/>
    <col min="4151" max="4151" width="8.6640625" style="295" customWidth="1"/>
    <col min="4152" max="4153" width="1.6640625" style="295" customWidth="1"/>
    <col min="4154" max="4154" width="3.6640625" style="295" customWidth="1"/>
    <col min="4155" max="4155" width="10.6640625" style="295" customWidth="1"/>
    <col min="4156" max="4156" width="1.6640625" style="295" customWidth="1"/>
    <col min="4157" max="4157" width="10.6640625" style="295" customWidth="1"/>
    <col min="4158" max="4158" width="1.6640625" style="295" customWidth="1"/>
    <col min="4159" max="4159" width="10.6640625" style="295" customWidth="1"/>
    <col min="4160" max="4160" width="1.6640625" style="295" customWidth="1"/>
    <col min="4161" max="4161" width="4.6640625" style="295" customWidth="1"/>
    <col min="4162" max="4174" width="9.109375" style="295"/>
    <col min="4175" max="4175" width="18.44140625" style="295" bestFit="1" customWidth="1"/>
    <col min="4176" max="4176" width="9.109375" style="295"/>
    <col min="4177" max="4177" width="2.6640625" style="295" customWidth="1"/>
    <col min="4178" max="4178" width="12.6640625" style="295" customWidth="1"/>
    <col min="4179" max="4350" width="9.109375" style="295"/>
    <col min="4351" max="4351" width="17.88671875" style="295" customWidth="1"/>
    <col min="4352" max="4352" width="9.44140625" style="295" bestFit="1" customWidth="1"/>
    <col min="4353" max="4353" width="3.6640625" style="295" customWidth="1"/>
    <col min="4354" max="4354" width="10.6640625" style="295" customWidth="1"/>
    <col min="4355" max="4355" width="3.6640625" style="295" customWidth="1"/>
    <col min="4356" max="4356" width="10.6640625" style="295" customWidth="1"/>
    <col min="4357" max="4357" width="3.6640625" style="295" customWidth="1"/>
    <col min="4358" max="4358" width="10.6640625" style="295" customWidth="1"/>
    <col min="4359" max="4359" width="3.6640625" style="295" customWidth="1"/>
    <col min="4360" max="4360" width="6.88671875" style="295" customWidth="1"/>
    <col min="4361" max="4361" width="3.6640625" style="295" customWidth="1"/>
    <col min="4362" max="4362" width="10.6640625" style="295" customWidth="1"/>
    <col min="4363" max="4365" width="3.6640625" style="295" customWidth="1"/>
    <col min="4366" max="4366" width="10.6640625" style="295" customWidth="1"/>
    <col min="4367" max="4367" width="3.6640625" style="295" customWidth="1"/>
    <col min="4368" max="4368" width="10.6640625" style="295" customWidth="1"/>
    <col min="4369" max="4369" width="3.6640625" style="295" customWidth="1"/>
    <col min="4370" max="4370" width="10.6640625" style="295" customWidth="1"/>
    <col min="4371" max="4371" width="3.6640625" style="295" customWidth="1"/>
    <col min="4372" max="4372" width="10.6640625" style="295" customWidth="1"/>
    <col min="4373" max="4373" width="3.6640625" style="295" customWidth="1"/>
    <col min="4374" max="4374" width="10.6640625" style="295" customWidth="1"/>
    <col min="4375" max="4375" width="3.6640625" style="295" customWidth="1"/>
    <col min="4376" max="4376" width="10.6640625" style="295" customWidth="1"/>
    <col min="4377" max="4377" width="3.6640625" style="295" customWidth="1"/>
    <col min="4378" max="4378" width="4.6640625" style="295" customWidth="1"/>
    <col min="4379" max="4379" width="7.6640625" style="295" customWidth="1"/>
    <col min="4380" max="4380" width="1.6640625" style="295" customWidth="1"/>
    <col min="4381" max="4381" width="7.6640625" style="295" customWidth="1"/>
    <col min="4382" max="4382" width="1.6640625" style="295" customWidth="1"/>
    <col min="4383" max="4383" width="7.6640625" style="295" customWidth="1"/>
    <col min="4384" max="4384" width="1.6640625" style="295" customWidth="1"/>
    <col min="4385" max="4385" width="7.6640625" style="295" customWidth="1"/>
    <col min="4386" max="4386" width="1.6640625" style="295" customWidth="1"/>
    <col min="4387" max="4387" width="4.6640625" style="295" customWidth="1"/>
    <col min="4388" max="4388" width="1.6640625" style="295" customWidth="1"/>
    <col min="4389" max="4389" width="4.6640625" style="295" customWidth="1"/>
    <col min="4390" max="4390" width="1.6640625" style="295" customWidth="1"/>
    <col min="4391" max="4391" width="7.6640625" style="295" customWidth="1"/>
    <col min="4392" max="4392" width="1.6640625" style="295" customWidth="1"/>
    <col min="4393" max="4393" width="7.6640625" style="295" customWidth="1"/>
    <col min="4394" max="4395" width="1.6640625" style="295" customWidth="1"/>
    <col min="4396" max="4396" width="5.6640625" style="295" customWidth="1"/>
    <col min="4397" max="4397" width="9.6640625" style="295" customWidth="1"/>
    <col min="4398" max="4398" width="1.6640625" style="295" customWidth="1"/>
    <col min="4399" max="4399" width="9.6640625" style="295" customWidth="1"/>
    <col min="4400" max="4400" width="1.6640625" style="295" customWidth="1"/>
    <col min="4401" max="4401" width="9.6640625" style="295" customWidth="1"/>
    <col min="4402" max="4402" width="1.6640625" style="295" customWidth="1"/>
    <col min="4403" max="4403" width="9.6640625" style="295" customWidth="1"/>
    <col min="4404" max="4404" width="1.6640625" style="295" customWidth="1"/>
    <col min="4405" max="4405" width="8.6640625" style="295" customWidth="1"/>
    <col min="4406" max="4406" width="1.6640625" style="295" customWidth="1"/>
    <col min="4407" max="4407" width="8.6640625" style="295" customWidth="1"/>
    <col min="4408" max="4409" width="1.6640625" style="295" customWidth="1"/>
    <col min="4410" max="4410" width="3.6640625" style="295" customWidth="1"/>
    <col min="4411" max="4411" width="10.6640625" style="295" customWidth="1"/>
    <col min="4412" max="4412" width="1.6640625" style="295" customWidth="1"/>
    <col min="4413" max="4413" width="10.6640625" style="295" customWidth="1"/>
    <col min="4414" max="4414" width="1.6640625" style="295" customWidth="1"/>
    <col min="4415" max="4415" width="10.6640625" style="295" customWidth="1"/>
    <col min="4416" max="4416" width="1.6640625" style="295" customWidth="1"/>
    <col min="4417" max="4417" width="4.6640625" style="295" customWidth="1"/>
    <col min="4418" max="4430" width="9.109375" style="295"/>
    <col min="4431" max="4431" width="18.44140625" style="295" bestFit="1" customWidth="1"/>
    <col min="4432" max="4432" width="9.109375" style="295"/>
    <col min="4433" max="4433" width="2.6640625" style="295" customWidth="1"/>
    <col min="4434" max="4434" width="12.6640625" style="295" customWidth="1"/>
    <col min="4435" max="4606" width="9.109375" style="295"/>
    <col min="4607" max="4607" width="17.88671875" style="295" customWidth="1"/>
    <col min="4608" max="4608" width="9.44140625" style="295" bestFit="1" customWidth="1"/>
    <col min="4609" max="4609" width="3.6640625" style="295" customWidth="1"/>
    <col min="4610" max="4610" width="10.6640625" style="295" customWidth="1"/>
    <col min="4611" max="4611" width="3.6640625" style="295" customWidth="1"/>
    <col min="4612" max="4612" width="10.6640625" style="295" customWidth="1"/>
    <col min="4613" max="4613" width="3.6640625" style="295" customWidth="1"/>
    <col min="4614" max="4614" width="10.6640625" style="295" customWidth="1"/>
    <col min="4615" max="4615" width="3.6640625" style="295" customWidth="1"/>
    <col min="4616" max="4616" width="6.88671875" style="295" customWidth="1"/>
    <col min="4617" max="4617" width="3.6640625" style="295" customWidth="1"/>
    <col min="4618" max="4618" width="10.6640625" style="295" customWidth="1"/>
    <col min="4619" max="4621" width="3.6640625" style="295" customWidth="1"/>
    <col min="4622" max="4622" width="10.6640625" style="295" customWidth="1"/>
    <col min="4623" max="4623" width="3.6640625" style="295" customWidth="1"/>
    <col min="4624" max="4624" width="10.6640625" style="295" customWidth="1"/>
    <col min="4625" max="4625" width="3.6640625" style="295" customWidth="1"/>
    <col min="4626" max="4626" width="10.6640625" style="295" customWidth="1"/>
    <col min="4627" max="4627" width="3.6640625" style="295" customWidth="1"/>
    <col min="4628" max="4628" width="10.6640625" style="295" customWidth="1"/>
    <col min="4629" max="4629" width="3.6640625" style="295" customWidth="1"/>
    <col min="4630" max="4630" width="10.6640625" style="295" customWidth="1"/>
    <col min="4631" max="4631" width="3.6640625" style="295" customWidth="1"/>
    <col min="4632" max="4632" width="10.6640625" style="295" customWidth="1"/>
    <col min="4633" max="4633" width="3.6640625" style="295" customWidth="1"/>
    <col min="4634" max="4634" width="4.6640625" style="295" customWidth="1"/>
    <col min="4635" max="4635" width="7.6640625" style="295" customWidth="1"/>
    <col min="4636" max="4636" width="1.6640625" style="295" customWidth="1"/>
    <col min="4637" max="4637" width="7.6640625" style="295" customWidth="1"/>
    <col min="4638" max="4638" width="1.6640625" style="295" customWidth="1"/>
    <col min="4639" max="4639" width="7.6640625" style="295" customWidth="1"/>
    <col min="4640" max="4640" width="1.6640625" style="295" customWidth="1"/>
    <col min="4641" max="4641" width="7.6640625" style="295" customWidth="1"/>
    <col min="4642" max="4642" width="1.6640625" style="295" customWidth="1"/>
    <col min="4643" max="4643" width="4.6640625" style="295" customWidth="1"/>
    <col min="4644" max="4644" width="1.6640625" style="295" customWidth="1"/>
    <col min="4645" max="4645" width="4.6640625" style="295" customWidth="1"/>
    <col min="4646" max="4646" width="1.6640625" style="295" customWidth="1"/>
    <col min="4647" max="4647" width="7.6640625" style="295" customWidth="1"/>
    <col min="4648" max="4648" width="1.6640625" style="295" customWidth="1"/>
    <col min="4649" max="4649" width="7.6640625" style="295" customWidth="1"/>
    <col min="4650" max="4651" width="1.6640625" style="295" customWidth="1"/>
    <col min="4652" max="4652" width="5.6640625" style="295" customWidth="1"/>
    <col min="4653" max="4653" width="9.6640625" style="295" customWidth="1"/>
    <col min="4654" max="4654" width="1.6640625" style="295" customWidth="1"/>
    <col min="4655" max="4655" width="9.6640625" style="295" customWidth="1"/>
    <col min="4656" max="4656" width="1.6640625" style="295" customWidth="1"/>
    <col min="4657" max="4657" width="9.6640625" style="295" customWidth="1"/>
    <col min="4658" max="4658" width="1.6640625" style="295" customWidth="1"/>
    <col min="4659" max="4659" width="9.6640625" style="295" customWidth="1"/>
    <col min="4660" max="4660" width="1.6640625" style="295" customWidth="1"/>
    <col min="4661" max="4661" width="8.6640625" style="295" customWidth="1"/>
    <col min="4662" max="4662" width="1.6640625" style="295" customWidth="1"/>
    <col min="4663" max="4663" width="8.6640625" style="295" customWidth="1"/>
    <col min="4664" max="4665" width="1.6640625" style="295" customWidth="1"/>
    <col min="4666" max="4666" width="3.6640625" style="295" customWidth="1"/>
    <col min="4667" max="4667" width="10.6640625" style="295" customWidth="1"/>
    <col min="4668" max="4668" width="1.6640625" style="295" customWidth="1"/>
    <col min="4669" max="4669" width="10.6640625" style="295" customWidth="1"/>
    <col min="4670" max="4670" width="1.6640625" style="295" customWidth="1"/>
    <col min="4671" max="4671" width="10.6640625" style="295" customWidth="1"/>
    <col min="4672" max="4672" width="1.6640625" style="295" customWidth="1"/>
    <col min="4673" max="4673" width="4.6640625" style="295" customWidth="1"/>
    <col min="4674" max="4686" width="9.109375" style="295"/>
    <col min="4687" max="4687" width="18.44140625" style="295" bestFit="1" customWidth="1"/>
    <col min="4688" max="4688" width="9.109375" style="295"/>
    <col min="4689" max="4689" width="2.6640625" style="295" customWidth="1"/>
    <col min="4690" max="4690" width="12.6640625" style="295" customWidth="1"/>
    <col min="4691" max="4862" width="9.109375" style="295"/>
    <col min="4863" max="4863" width="17.88671875" style="295" customWidth="1"/>
    <col min="4864" max="4864" width="9.44140625" style="295" bestFit="1" customWidth="1"/>
    <col min="4865" max="4865" width="3.6640625" style="295" customWidth="1"/>
    <col min="4866" max="4866" width="10.6640625" style="295" customWidth="1"/>
    <col min="4867" max="4867" width="3.6640625" style="295" customWidth="1"/>
    <col min="4868" max="4868" width="10.6640625" style="295" customWidth="1"/>
    <col min="4869" max="4869" width="3.6640625" style="295" customWidth="1"/>
    <col min="4870" max="4870" width="10.6640625" style="295" customWidth="1"/>
    <col min="4871" max="4871" width="3.6640625" style="295" customWidth="1"/>
    <col min="4872" max="4872" width="6.88671875" style="295" customWidth="1"/>
    <col min="4873" max="4873" width="3.6640625" style="295" customWidth="1"/>
    <col min="4874" max="4874" width="10.6640625" style="295" customWidth="1"/>
    <col min="4875" max="4877" width="3.6640625" style="295" customWidth="1"/>
    <col min="4878" max="4878" width="10.6640625" style="295" customWidth="1"/>
    <col min="4879" max="4879" width="3.6640625" style="295" customWidth="1"/>
    <col min="4880" max="4880" width="10.6640625" style="295" customWidth="1"/>
    <col min="4881" max="4881" width="3.6640625" style="295" customWidth="1"/>
    <col min="4882" max="4882" width="10.6640625" style="295" customWidth="1"/>
    <col min="4883" max="4883" width="3.6640625" style="295" customWidth="1"/>
    <col min="4884" max="4884" width="10.6640625" style="295" customWidth="1"/>
    <col min="4885" max="4885" width="3.6640625" style="295" customWidth="1"/>
    <col min="4886" max="4886" width="10.6640625" style="295" customWidth="1"/>
    <col min="4887" max="4887" width="3.6640625" style="295" customWidth="1"/>
    <col min="4888" max="4888" width="10.6640625" style="295" customWidth="1"/>
    <col min="4889" max="4889" width="3.6640625" style="295" customWidth="1"/>
    <col min="4890" max="4890" width="4.6640625" style="295" customWidth="1"/>
    <col min="4891" max="4891" width="7.6640625" style="295" customWidth="1"/>
    <col min="4892" max="4892" width="1.6640625" style="295" customWidth="1"/>
    <col min="4893" max="4893" width="7.6640625" style="295" customWidth="1"/>
    <col min="4894" max="4894" width="1.6640625" style="295" customWidth="1"/>
    <col min="4895" max="4895" width="7.6640625" style="295" customWidth="1"/>
    <col min="4896" max="4896" width="1.6640625" style="295" customWidth="1"/>
    <col min="4897" max="4897" width="7.6640625" style="295" customWidth="1"/>
    <col min="4898" max="4898" width="1.6640625" style="295" customWidth="1"/>
    <col min="4899" max="4899" width="4.6640625" style="295" customWidth="1"/>
    <col min="4900" max="4900" width="1.6640625" style="295" customWidth="1"/>
    <col min="4901" max="4901" width="4.6640625" style="295" customWidth="1"/>
    <col min="4902" max="4902" width="1.6640625" style="295" customWidth="1"/>
    <col min="4903" max="4903" width="7.6640625" style="295" customWidth="1"/>
    <col min="4904" max="4904" width="1.6640625" style="295" customWidth="1"/>
    <col min="4905" max="4905" width="7.6640625" style="295" customWidth="1"/>
    <col min="4906" max="4907" width="1.6640625" style="295" customWidth="1"/>
    <col min="4908" max="4908" width="5.6640625" style="295" customWidth="1"/>
    <col min="4909" max="4909" width="9.6640625" style="295" customWidth="1"/>
    <col min="4910" max="4910" width="1.6640625" style="295" customWidth="1"/>
    <col min="4911" max="4911" width="9.6640625" style="295" customWidth="1"/>
    <col min="4912" max="4912" width="1.6640625" style="295" customWidth="1"/>
    <col min="4913" max="4913" width="9.6640625" style="295" customWidth="1"/>
    <col min="4914" max="4914" width="1.6640625" style="295" customWidth="1"/>
    <col min="4915" max="4915" width="9.6640625" style="295" customWidth="1"/>
    <col min="4916" max="4916" width="1.6640625" style="295" customWidth="1"/>
    <col min="4917" max="4917" width="8.6640625" style="295" customWidth="1"/>
    <col min="4918" max="4918" width="1.6640625" style="295" customWidth="1"/>
    <col min="4919" max="4919" width="8.6640625" style="295" customWidth="1"/>
    <col min="4920" max="4921" width="1.6640625" style="295" customWidth="1"/>
    <col min="4922" max="4922" width="3.6640625" style="295" customWidth="1"/>
    <col min="4923" max="4923" width="10.6640625" style="295" customWidth="1"/>
    <col min="4924" max="4924" width="1.6640625" style="295" customWidth="1"/>
    <col min="4925" max="4925" width="10.6640625" style="295" customWidth="1"/>
    <col min="4926" max="4926" width="1.6640625" style="295" customWidth="1"/>
    <col min="4927" max="4927" width="10.6640625" style="295" customWidth="1"/>
    <col min="4928" max="4928" width="1.6640625" style="295" customWidth="1"/>
    <col min="4929" max="4929" width="4.6640625" style="295" customWidth="1"/>
    <col min="4930" max="4942" width="9.109375" style="295"/>
    <col min="4943" max="4943" width="18.44140625" style="295" bestFit="1" customWidth="1"/>
    <col min="4944" max="4944" width="9.109375" style="295"/>
    <col min="4945" max="4945" width="2.6640625" style="295" customWidth="1"/>
    <col min="4946" max="4946" width="12.6640625" style="295" customWidth="1"/>
    <col min="4947" max="5118" width="9.109375" style="295"/>
    <col min="5119" max="5119" width="17.88671875" style="295" customWidth="1"/>
    <col min="5120" max="5120" width="9.44140625" style="295" bestFit="1" customWidth="1"/>
    <col min="5121" max="5121" width="3.6640625" style="295" customWidth="1"/>
    <col min="5122" max="5122" width="10.6640625" style="295" customWidth="1"/>
    <col min="5123" max="5123" width="3.6640625" style="295" customWidth="1"/>
    <col min="5124" max="5124" width="10.6640625" style="295" customWidth="1"/>
    <col min="5125" max="5125" width="3.6640625" style="295" customWidth="1"/>
    <col min="5126" max="5126" width="10.6640625" style="295" customWidth="1"/>
    <col min="5127" max="5127" width="3.6640625" style="295" customWidth="1"/>
    <col min="5128" max="5128" width="6.88671875" style="295" customWidth="1"/>
    <col min="5129" max="5129" width="3.6640625" style="295" customWidth="1"/>
    <col min="5130" max="5130" width="10.6640625" style="295" customWidth="1"/>
    <col min="5131" max="5133" width="3.6640625" style="295" customWidth="1"/>
    <col min="5134" max="5134" width="10.6640625" style="295" customWidth="1"/>
    <col min="5135" max="5135" width="3.6640625" style="295" customWidth="1"/>
    <col min="5136" max="5136" width="10.6640625" style="295" customWidth="1"/>
    <col min="5137" max="5137" width="3.6640625" style="295" customWidth="1"/>
    <col min="5138" max="5138" width="10.6640625" style="295" customWidth="1"/>
    <col min="5139" max="5139" width="3.6640625" style="295" customWidth="1"/>
    <col min="5140" max="5140" width="10.6640625" style="295" customWidth="1"/>
    <col min="5141" max="5141" width="3.6640625" style="295" customWidth="1"/>
    <col min="5142" max="5142" width="10.6640625" style="295" customWidth="1"/>
    <col min="5143" max="5143" width="3.6640625" style="295" customWidth="1"/>
    <col min="5144" max="5144" width="10.6640625" style="295" customWidth="1"/>
    <col min="5145" max="5145" width="3.6640625" style="295" customWidth="1"/>
    <col min="5146" max="5146" width="4.6640625" style="295" customWidth="1"/>
    <col min="5147" max="5147" width="7.6640625" style="295" customWidth="1"/>
    <col min="5148" max="5148" width="1.6640625" style="295" customWidth="1"/>
    <col min="5149" max="5149" width="7.6640625" style="295" customWidth="1"/>
    <col min="5150" max="5150" width="1.6640625" style="295" customWidth="1"/>
    <col min="5151" max="5151" width="7.6640625" style="295" customWidth="1"/>
    <col min="5152" max="5152" width="1.6640625" style="295" customWidth="1"/>
    <col min="5153" max="5153" width="7.6640625" style="295" customWidth="1"/>
    <col min="5154" max="5154" width="1.6640625" style="295" customWidth="1"/>
    <col min="5155" max="5155" width="4.6640625" style="295" customWidth="1"/>
    <col min="5156" max="5156" width="1.6640625" style="295" customWidth="1"/>
    <col min="5157" max="5157" width="4.6640625" style="295" customWidth="1"/>
    <col min="5158" max="5158" width="1.6640625" style="295" customWidth="1"/>
    <col min="5159" max="5159" width="7.6640625" style="295" customWidth="1"/>
    <col min="5160" max="5160" width="1.6640625" style="295" customWidth="1"/>
    <col min="5161" max="5161" width="7.6640625" style="295" customWidth="1"/>
    <col min="5162" max="5163" width="1.6640625" style="295" customWidth="1"/>
    <col min="5164" max="5164" width="5.6640625" style="295" customWidth="1"/>
    <col min="5165" max="5165" width="9.6640625" style="295" customWidth="1"/>
    <col min="5166" max="5166" width="1.6640625" style="295" customWidth="1"/>
    <col min="5167" max="5167" width="9.6640625" style="295" customWidth="1"/>
    <col min="5168" max="5168" width="1.6640625" style="295" customWidth="1"/>
    <col min="5169" max="5169" width="9.6640625" style="295" customWidth="1"/>
    <col min="5170" max="5170" width="1.6640625" style="295" customWidth="1"/>
    <col min="5171" max="5171" width="9.6640625" style="295" customWidth="1"/>
    <col min="5172" max="5172" width="1.6640625" style="295" customWidth="1"/>
    <col min="5173" max="5173" width="8.6640625" style="295" customWidth="1"/>
    <col min="5174" max="5174" width="1.6640625" style="295" customWidth="1"/>
    <col min="5175" max="5175" width="8.6640625" style="295" customWidth="1"/>
    <col min="5176" max="5177" width="1.6640625" style="295" customWidth="1"/>
    <col min="5178" max="5178" width="3.6640625" style="295" customWidth="1"/>
    <col min="5179" max="5179" width="10.6640625" style="295" customWidth="1"/>
    <col min="5180" max="5180" width="1.6640625" style="295" customWidth="1"/>
    <col min="5181" max="5181" width="10.6640625" style="295" customWidth="1"/>
    <col min="5182" max="5182" width="1.6640625" style="295" customWidth="1"/>
    <col min="5183" max="5183" width="10.6640625" style="295" customWidth="1"/>
    <col min="5184" max="5184" width="1.6640625" style="295" customWidth="1"/>
    <col min="5185" max="5185" width="4.6640625" style="295" customWidth="1"/>
    <col min="5186" max="5198" width="9.109375" style="295"/>
    <col min="5199" max="5199" width="18.44140625" style="295" bestFit="1" customWidth="1"/>
    <col min="5200" max="5200" width="9.109375" style="295"/>
    <col min="5201" max="5201" width="2.6640625" style="295" customWidth="1"/>
    <col min="5202" max="5202" width="12.6640625" style="295" customWidth="1"/>
    <col min="5203" max="5374" width="9.109375" style="295"/>
    <col min="5375" max="5375" width="17.88671875" style="295" customWidth="1"/>
    <col min="5376" max="5376" width="9.44140625" style="295" bestFit="1" customWidth="1"/>
    <col min="5377" max="5377" width="3.6640625" style="295" customWidth="1"/>
    <col min="5378" max="5378" width="10.6640625" style="295" customWidth="1"/>
    <col min="5379" max="5379" width="3.6640625" style="295" customWidth="1"/>
    <col min="5380" max="5380" width="10.6640625" style="295" customWidth="1"/>
    <col min="5381" max="5381" width="3.6640625" style="295" customWidth="1"/>
    <col min="5382" max="5382" width="10.6640625" style="295" customWidth="1"/>
    <col min="5383" max="5383" width="3.6640625" style="295" customWidth="1"/>
    <col min="5384" max="5384" width="6.88671875" style="295" customWidth="1"/>
    <col min="5385" max="5385" width="3.6640625" style="295" customWidth="1"/>
    <col min="5386" max="5386" width="10.6640625" style="295" customWidth="1"/>
    <col min="5387" max="5389" width="3.6640625" style="295" customWidth="1"/>
    <col min="5390" max="5390" width="10.6640625" style="295" customWidth="1"/>
    <col min="5391" max="5391" width="3.6640625" style="295" customWidth="1"/>
    <col min="5392" max="5392" width="10.6640625" style="295" customWidth="1"/>
    <col min="5393" max="5393" width="3.6640625" style="295" customWidth="1"/>
    <col min="5394" max="5394" width="10.6640625" style="295" customWidth="1"/>
    <col min="5395" max="5395" width="3.6640625" style="295" customWidth="1"/>
    <col min="5396" max="5396" width="10.6640625" style="295" customWidth="1"/>
    <col min="5397" max="5397" width="3.6640625" style="295" customWidth="1"/>
    <col min="5398" max="5398" width="10.6640625" style="295" customWidth="1"/>
    <col min="5399" max="5399" width="3.6640625" style="295" customWidth="1"/>
    <col min="5400" max="5400" width="10.6640625" style="295" customWidth="1"/>
    <col min="5401" max="5401" width="3.6640625" style="295" customWidth="1"/>
    <col min="5402" max="5402" width="4.6640625" style="295" customWidth="1"/>
    <col min="5403" max="5403" width="7.6640625" style="295" customWidth="1"/>
    <col min="5404" max="5404" width="1.6640625" style="295" customWidth="1"/>
    <col min="5405" max="5405" width="7.6640625" style="295" customWidth="1"/>
    <col min="5406" max="5406" width="1.6640625" style="295" customWidth="1"/>
    <col min="5407" max="5407" width="7.6640625" style="295" customWidth="1"/>
    <col min="5408" max="5408" width="1.6640625" style="295" customWidth="1"/>
    <col min="5409" max="5409" width="7.6640625" style="295" customWidth="1"/>
    <col min="5410" max="5410" width="1.6640625" style="295" customWidth="1"/>
    <col min="5411" max="5411" width="4.6640625" style="295" customWidth="1"/>
    <col min="5412" max="5412" width="1.6640625" style="295" customWidth="1"/>
    <col min="5413" max="5413" width="4.6640625" style="295" customWidth="1"/>
    <col min="5414" max="5414" width="1.6640625" style="295" customWidth="1"/>
    <col min="5415" max="5415" width="7.6640625" style="295" customWidth="1"/>
    <col min="5416" max="5416" width="1.6640625" style="295" customWidth="1"/>
    <col min="5417" max="5417" width="7.6640625" style="295" customWidth="1"/>
    <col min="5418" max="5419" width="1.6640625" style="295" customWidth="1"/>
    <col min="5420" max="5420" width="5.6640625" style="295" customWidth="1"/>
    <col min="5421" max="5421" width="9.6640625" style="295" customWidth="1"/>
    <col min="5422" max="5422" width="1.6640625" style="295" customWidth="1"/>
    <col min="5423" max="5423" width="9.6640625" style="295" customWidth="1"/>
    <col min="5424" max="5424" width="1.6640625" style="295" customWidth="1"/>
    <col min="5425" max="5425" width="9.6640625" style="295" customWidth="1"/>
    <col min="5426" max="5426" width="1.6640625" style="295" customWidth="1"/>
    <col min="5427" max="5427" width="9.6640625" style="295" customWidth="1"/>
    <col min="5428" max="5428" width="1.6640625" style="295" customWidth="1"/>
    <col min="5429" max="5429" width="8.6640625" style="295" customWidth="1"/>
    <col min="5430" max="5430" width="1.6640625" style="295" customWidth="1"/>
    <col min="5431" max="5431" width="8.6640625" style="295" customWidth="1"/>
    <col min="5432" max="5433" width="1.6640625" style="295" customWidth="1"/>
    <col min="5434" max="5434" width="3.6640625" style="295" customWidth="1"/>
    <col min="5435" max="5435" width="10.6640625" style="295" customWidth="1"/>
    <col min="5436" max="5436" width="1.6640625" style="295" customWidth="1"/>
    <col min="5437" max="5437" width="10.6640625" style="295" customWidth="1"/>
    <col min="5438" max="5438" width="1.6640625" style="295" customWidth="1"/>
    <col min="5439" max="5439" width="10.6640625" style="295" customWidth="1"/>
    <col min="5440" max="5440" width="1.6640625" style="295" customWidth="1"/>
    <col min="5441" max="5441" width="4.6640625" style="295" customWidth="1"/>
    <col min="5442" max="5454" width="9.109375" style="295"/>
    <col min="5455" max="5455" width="18.44140625" style="295" bestFit="1" customWidth="1"/>
    <col min="5456" max="5456" width="9.109375" style="295"/>
    <col min="5457" max="5457" width="2.6640625" style="295" customWidth="1"/>
    <col min="5458" max="5458" width="12.6640625" style="295" customWidth="1"/>
    <col min="5459" max="5630" width="9.109375" style="295"/>
    <col min="5631" max="5631" width="17.88671875" style="295" customWidth="1"/>
    <col min="5632" max="5632" width="9.44140625" style="295" bestFit="1" customWidth="1"/>
    <col min="5633" max="5633" width="3.6640625" style="295" customWidth="1"/>
    <col min="5634" max="5634" width="10.6640625" style="295" customWidth="1"/>
    <col min="5635" max="5635" width="3.6640625" style="295" customWidth="1"/>
    <col min="5636" max="5636" width="10.6640625" style="295" customWidth="1"/>
    <col min="5637" max="5637" width="3.6640625" style="295" customWidth="1"/>
    <col min="5638" max="5638" width="10.6640625" style="295" customWidth="1"/>
    <col min="5639" max="5639" width="3.6640625" style="295" customWidth="1"/>
    <col min="5640" max="5640" width="6.88671875" style="295" customWidth="1"/>
    <col min="5641" max="5641" width="3.6640625" style="295" customWidth="1"/>
    <col min="5642" max="5642" width="10.6640625" style="295" customWidth="1"/>
    <col min="5643" max="5645" width="3.6640625" style="295" customWidth="1"/>
    <col min="5646" max="5646" width="10.6640625" style="295" customWidth="1"/>
    <col min="5647" max="5647" width="3.6640625" style="295" customWidth="1"/>
    <col min="5648" max="5648" width="10.6640625" style="295" customWidth="1"/>
    <col min="5649" max="5649" width="3.6640625" style="295" customWidth="1"/>
    <col min="5650" max="5650" width="10.6640625" style="295" customWidth="1"/>
    <col min="5651" max="5651" width="3.6640625" style="295" customWidth="1"/>
    <col min="5652" max="5652" width="10.6640625" style="295" customWidth="1"/>
    <col min="5653" max="5653" width="3.6640625" style="295" customWidth="1"/>
    <col min="5654" max="5654" width="10.6640625" style="295" customWidth="1"/>
    <col min="5655" max="5655" width="3.6640625" style="295" customWidth="1"/>
    <col min="5656" max="5656" width="10.6640625" style="295" customWidth="1"/>
    <col min="5657" max="5657" width="3.6640625" style="295" customWidth="1"/>
    <col min="5658" max="5658" width="4.6640625" style="295" customWidth="1"/>
    <col min="5659" max="5659" width="7.6640625" style="295" customWidth="1"/>
    <col min="5660" max="5660" width="1.6640625" style="295" customWidth="1"/>
    <col min="5661" max="5661" width="7.6640625" style="295" customWidth="1"/>
    <col min="5662" max="5662" width="1.6640625" style="295" customWidth="1"/>
    <col min="5663" max="5663" width="7.6640625" style="295" customWidth="1"/>
    <col min="5664" max="5664" width="1.6640625" style="295" customWidth="1"/>
    <col min="5665" max="5665" width="7.6640625" style="295" customWidth="1"/>
    <col min="5666" max="5666" width="1.6640625" style="295" customWidth="1"/>
    <col min="5667" max="5667" width="4.6640625" style="295" customWidth="1"/>
    <col min="5668" max="5668" width="1.6640625" style="295" customWidth="1"/>
    <col min="5669" max="5669" width="4.6640625" style="295" customWidth="1"/>
    <col min="5670" max="5670" width="1.6640625" style="295" customWidth="1"/>
    <col min="5671" max="5671" width="7.6640625" style="295" customWidth="1"/>
    <col min="5672" max="5672" width="1.6640625" style="295" customWidth="1"/>
    <col min="5673" max="5673" width="7.6640625" style="295" customWidth="1"/>
    <col min="5674" max="5675" width="1.6640625" style="295" customWidth="1"/>
    <col min="5676" max="5676" width="5.6640625" style="295" customWidth="1"/>
    <col min="5677" max="5677" width="9.6640625" style="295" customWidth="1"/>
    <col min="5678" max="5678" width="1.6640625" style="295" customWidth="1"/>
    <col min="5679" max="5679" width="9.6640625" style="295" customWidth="1"/>
    <col min="5680" max="5680" width="1.6640625" style="295" customWidth="1"/>
    <col min="5681" max="5681" width="9.6640625" style="295" customWidth="1"/>
    <col min="5682" max="5682" width="1.6640625" style="295" customWidth="1"/>
    <col min="5683" max="5683" width="9.6640625" style="295" customWidth="1"/>
    <col min="5684" max="5684" width="1.6640625" style="295" customWidth="1"/>
    <col min="5685" max="5685" width="8.6640625" style="295" customWidth="1"/>
    <col min="5686" max="5686" width="1.6640625" style="295" customWidth="1"/>
    <col min="5687" max="5687" width="8.6640625" style="295" customWidth="1"/>
    <col min="5688" max="5689" width="1.6640625" style="295" customWidth="1"/>
    <col min="5690" max="5690" width="3.6640625" style="295" customWidth="1"/>
    <col min="5691" max="5691" width="10.6640625" style="295" customWidth="1"/>
    <col min="5692" max="5692" width="1.6640625" style="295" customWidth="1"/>
    <col min="5693" max="5693" width="10.6640625" style="295" customWidth="1"/>
    <col min="5694" max="5694" width="1.6640625" style="295" customWidth="1"/>
    <col min="5695" max="5695" width="10.6640625" style="295" customWidth="1"/>
    <col min="5696" max="5696" width="1.6640625" style="295" customWidth="1"/>
    <col min="5697" max="5697" width="4.6640625" style="295" customWidth="1"/>
    <col min="5698" max="5710" width="9.109375" style="295"/>
    <col min="5711" max="5711" width="18.44140625" style="295" bestFit="1" customWidth="1"/>
    <col min="5712" max="5712" width="9.109375" style="295"/>
    <col min="5713" max="5713" width="2.6640625" style="295" customWidth="1"/>
    <col min="5714" max="5714" width="12.6640625" style="295" customWidth="1"/>
    <col min="5715" max="5886" width="9.109375" style="295"/>
    <col min="5887" max="5887" width="17.88671875" style="295" customWidth="1"/>
    <col min="5888" max="5888" width="9.44140625" style="295" bestFit="1" customWidth="1"/>
    <col min="5889" max="5889" width="3.6640625" style="295" customWidth="1"/>
    <col min="5890" max="5890" width="10.6640625" style="295" customWidth="1"/>
    <col min="5891" max="5891" width="3.6640625" style="295" customWidth="1"/>
    <col min="5892" max="5892" width="10.6640625" style="295" customWidth="1"/>
    <col min="5893" max="5893" width="3.6640625" style="295" customWidth="1"/>
    <col min="5894" max="5894" width="10.6640625" style="295" customWidth="1"/>
    <col min="5895" max="5895" width="3.6640625" style="295" customWidth="1"/>
    <col min="5896" max="5896" width="6.88671875" style="295" customWidth="1"/>
    <col min="5897" max="5897" width="3.6640625" style="295" customWidth="1"/>
    <col min="5898" max="5898" width="10.6640625" style="295" customWidth="1"/>
    <col min="5899" max="5901" width="3.6640625" style="295" customWidth="1"/>
    <col min="5902" max="5902" width="10.6640625" style="295" customWidth="1"/>
    <col min="5903" max="5903" width="3.6640625" style="295" customWidth="1"/>
    <col min="5904" max="5904" width="10.6640625" style="295" customWidth="1"/>
    <col min="5905" max="5905" width="3.6640625" style="295" customWidth="1"/>
    <col min="5906" max="5906" width="10.6640625" style="295" customWidth="1"/>
    <col min="5907" max="5907" width="3.6640625" style="295" customWidth="1"/>
    <col min="5908" max="5908" width="10.6640625" style="295" customWidth="1"/>
    <col min="5909" max="5909" width="3.6640625" style="295" customWidth="1"/>
    <col min="5910" max="5910" width="10.6640625" style="295" customWidth="1"/>
    <col min="5911" max="5911" width="3.6640625" style="295" customWidth="1"/>
    <col min="5912" max="5912" width="10.6640625" style="295" customWidth="1"/>
    <col min="5913" max="5913" width="3.6640625" style="295" customWidth="1"/>
    <col min="5914" max="5914" width="4.6640625" style="295" customWidth="1"/>
    <col min="5915" max="5915" width="7.6640625" style="295" customWidth="1"/>
    <col min="5916" max="5916" width="1.6640625" style="295" customWidth="1"/>
    <col min="5917" max="5917" width="7.6640625" style="295" customWidth="1"/>
    <col min="5918" max="5918" width="1.6640625" style="295" customWidth="1"/>
    <col min="5919" max="5919" width="7.6640625" style="295" customWidth="1"/>
    <col min="5920" max="5920" width="1.6640625" style="295" customWidth="1"/>
    <col min="5921" max="5921" width="7.6640625" style="295" customWidth="1"/>
    <col min="5922" max="5922" width="1.6640625" style="295" customWidth="1"/>
    <col min="5923" max="5923" width="4.6640625" style="295" customWidth="1"/>
    <col min="5924" max="5924" width="1.6640625" style="295" customWidth="1"/>
    <col min="5925" max="5925" width="4.6640625" style="295" customWidth="1"/>
    <col min="5926" max="5926" width="1.6640625" style="295" customWidth="1"/>
    <col min="5927" max="5927" width="7.6640625" style="295" customWidth="1"/>
    <col min="5928" max="5928" width="1.6640625" style="295" customWidth="1"/>
    <col min="5929" max="5929" width="7.6640625" style="295" customWidth="1"/>
    <col min="5930" max="5931" width="1.6640625" style="295" customWidth="1"/>
    <col min="5932" max="5932" width="5.6640625" style="295" customWidth="1"/>
    <col min="5933" max="5933" width="9.6640625" style="295" customWidth="1"/>
    <col min="5934" max="5934" width="1.6640625" style="295" customWidth="1"/>
    <col min="5935" max="5935" width="9.6640625" style="295" customWidth="1"/>
    <col min="5936" max="5936" width="1.6640625" style="295" customWidth="1"/>
    <col min="5937" max="5937" width="9.6640625" style="295" customWidth="1"/>
    <col min="5938" max="5938" width="1.6640625" style="295" customWidth="1"/>
    <col min="5939" max="5939" width="9.6640625" style="295" customWidth="1"/>
    <col min="5940" max="5940" width="1.6640625" style="295" customWidth="1"/>
    <col min="5941" max="5941" width="8.6640625" style="295" customWidth="1"/>
    <col min="5942" max="5942" width="1.6640625" style="295" customWidth="1"/>
    <col min="5943" max="5943" width="8.6640625" style="295" customWidth="1"/>
    <col min="5944" max="5945" width="1.6640625" style="295" customWidth="1"/>
    <col min="5946" max="5946" width="3.6640625" style="295" customWidth="1"/>
    <col min="5947" max="5947" width="10.6640625" style="295" customWidth="1"/>
    <col min="5948" max="5948" width="1.6640625" style="295" customWidth="1"/>
    <col min="5949" max="5949" width="10.6640625" style="295" customWidth="1"/>
    <col min="5950" max="5950" width="1.6640625" style="295" customWidth="1"/>
    <col min="5951" max="5951" width="10.6640625" style="295" customWidth="1"/>
    <col min="5952" max="5952" width="1.6640625" style="295" customWidth="1"/>
    <col min="5953" max="5953" width="4.6640625" style="295" customWidth="1"/>
    <col min="5954" max="5966" width="9.109375" style="295"/>
    <col min="5967" max="5967" width="18.44140625" style="295" bestFit="1" customWidth="1"/>
    <col min="5968" max="5968" width="9.109375" style="295"/>
    <col min="5969" max="5969" width="2.6640625" style="295" customWidth="1"/>
    <col min="5970" max="5970" width="12.6640625" style="295" customWidth="1"/>
    <col min="5971" max="6142" width="9.109375" style="295"/>
    <col min="6143" max="6143" width="17.88671875" style="295" customWidth="1"/>
    <col min="6144" max="6144" width="9.44140625" style="295" bestFit="1" customWidth="1"/>
    <col min="6145" max="6145" width="3.6640625" style="295" customWidth="1"/>
    <col min="6146" max="6146" width="10.6640625" style="295" customWidth="1"/>
    <col min="6147" max="6147" width="3.6640625" style="295" customWidth="1"/>
    <col min="6148" max="6148" width="10.6640625" style="295" customWidth="1"/>
    <col min="6149" max="6149" width="3.6640625" style="295" customWidth="1"/>
    <col min="6150" max="6150" width="10.6640625" style="295" customWidth="1"/>
    <col min="6151" max="6151" width="3.6640625" style="295" customWidth="1"/>
    <col min="6152" max="6152" width="6.88671875" style="295" customWidth="1"/>
    <col min="6153" max="6153" width="3.6640625" style="295" customWidth="1"/>
    <col min="6154" max="6154" width="10.6640625" style="295" customWidth="1"/>
    <col min="6155" max="6157" width="3.6640625" style="295" customWidth="1"/>
    <col min="6158" max="6158" width="10.6640625" style="295" customWidth="1"/>
    <col min="6159" max="6159" width="3.6640625" style="295" customWidth="1"/>
    <col min="6160" max="6160" width="10.6640625" style="295" customWidth="1"/>
    <col min="6161" max="6161" width="3.6640625" style="295" customWidth="1"/>
    <col min="6162" max="6162" width="10.6640625" style="295" customWidth="1"/>
    <col min="6163" max="6163" width="3.6640625" style="295" customWidth="1"/>
    <col min="6164" max="6164" width="10.6640625" style="295" customWidth="1"/>
    <col min="6165" max="6165" width="3.6640625" style="295" customWidth="1"/>
    <col min="6166" max="6166" width="10.6640625" style="295" customWidth="1"/>
    <col min="6167" max="6167" width="3.6640625" style="295" customWidth="1"/>
    <col min="6168" max="6168" width="10.6640625" style="295" customWidth="1"/>
    <col min="6169" max="6169" width="3.6640625" style="295" customWidth="1"/>
    <col min="6170" max="6170" width="4.6640625" style="295" customWidth="1"/>
    <col min="6171" max="6171" width="7.6640625" style="295" customWidth="1"/>
    <col min="6172" max="6172" width="1.6640625" style="295" customWidth="1"/>
    <col min="6173" max="6173" width="7.6640625" style="295" customWidth="1"/>
    <col min="6174" max="6174" width="1.6640625" style="295" customWidth="1"/>
    <col min="6175" max="6175" width="7.6640625" style="295" customWidth="1"/>
    <col min="6176" max="6176" width="1.6640625" style="295" customWidth="1"/>
    <col min="6177" max="6177" width="7.6640625" style="295" customWidth="1"/>
    <col min="6178" max="6178" width="1.6640625" style="295" customWidth="1"/>
    <col min="6179" max="6179" width="4.6640625" style="295" customWidth="1"/>
    <col min="6180" max="6180" width="1.6640625" style="295" customWidth="1"/>
    <col min="6181" max="6181" width="4.6640625" style="295" customWidth="1"/>
    <col min="6182" max="6182" width="1.6640625" style="295" customWidth="1"/>
    <col min="6183" max="6183" width="7.6640625" style="295" customWidth="1"/>
    <col min="6184" max="6184" width="1.6640625" style="295" customWidth="1"/>
    <col min="6185" max="6185" width="7.6640625" style="295" customWidth="1"/>
    <col min="6186" max="6187" width="1.6640625" style="295" customWidth="1"/>
    <col min="6188" max="6188" width="5.6640625" style="295" customWidth="1"/>
    <col min="6189" max="6189" width="9.6640625" style="295" customWidth="1"/>
    <col min="6190" max="6190" width="1.6640625" style="295" customWidth="1"/>
    <col min="6191" max="6191" width="9.6640625" style="295" customWidth="1"/>
    <col min="6192" max="6192" width="1.6640625" style="295" customWidth="1"/>
    <col min="6193" max="6193" width="9.6640625" style="295" customWidth="1"/>
    <col min="6194" max="6194" width="1.6640625" style="295" customWidth="1"/>
    <col min="6195" max="6195" width="9.6640625" style="295" customWidth="1"/>
    <col min="6196" max="6196" width="1.6640625" style="295" customWidth="1"/>
    <col min="6197" max="6197" width="8.6640625" style="295" customWidth="1"/>
    <col min="6198" max="6198" width="1.6640625" style="295" customWidth="1"/>
    <col min="6199" max="6199" width="8.6640625" style="295" customWidth="1"/>
    <col min="6200" max="6201" width="1.6640625" style="295" customWidth="1"/>
    <col min="6202" max="6202" width="3.6640625" style="295" customWidth="1"/>
    <col min="6203" max="6203" width="10.6640625" style="295" customWidth="1"/>
    <col min="6204" max="6204" width="1.6640625" style="295" customWidth="1"/>
    <col min="6205" max="6205" width="10.6640625" style="295" customWidth="1"/>
    <col min="6206" max="6206" width="1.6640625" style="295" customWidth="1"/>
    <col min="6207" max="6207" width="10.6640625" style="295" customWidth="1"/>
    <col min="6208" max="6208" width="1.6640625" style="295" customWidth="1"/>
    <col min="6209" max="6209" width="4.6640625" style="295" customWidth="1"/>
    <col min="6210" max="6222" width="9.109375" style="295"/>
    <col min="6223" max="6223" width="18.44140625" style="295" bestFit="1" customWidth="1"/>
    <col min="6224" max="6224" width="9.109375" style="295"/>
    <col min="6225" max="6225" width="2.6640625" style="295" customWidth="1"/>
    <col min="6226" max="6226" width="12.6640625" style="295" customWidth="1"/>
    <col min="6227" max="6398" width="9.109375" style="295"/>
    <col min="6399" max="6399" width="17.88671875" style="295" customWidth="1"/>
    <col min="6400" max="6400" width="9.44140625" style="295" bestFit="1" customWidth="1"/>
    <col min="6401" max="6401" width="3.6640625" style="295" customWidth="1"/>
    <col min="6402" max="6402" width="10.6640625" style="295" customWidth="1"/>
    <col min="6403" max="6403" width="3.6640625" style="295" customWidth="1"/>
    <col min="6404" max="6404" width="10.6640625" style="295" customWidth="1"/>
    <col min="6405" max="6405" width="3.6640625" style="295" customWidth="1"/>
    <col min="6406" max="6406" width="10.6640625" style="295" customWidth="1"/>
    <col min="6407" max="6407" width="3.6640625" style="295" customWidth="1"/>
    <col min="6408" max="6408" width="6.88671875" style="295" customWidth="1"/>
    <col min="6409" max="6409" width="3.6640625" style="295" customWidth="1"/>
    <col min="6410" max="6410" width="10.6640625" style="295" customWidth="1"/>
    <col min="6411" max="6413" width="3.6640625" style="295" customWidth="1"/>
    <col min="6414" max="6414" width="10.6640625" style="295" customWidth="1"/>
    <col min="6415" max="6415" width="3.6640625" style="295" customWidth="1"/>
    <col min="6416" max="6416" width="10.6640625" style="295" customWidth="1"/>
    <col min="6417" max="6417" width="3.6640625" style="295" customWidth="1"/>
    <col min="6418" max="6418" width="10.6640625" style="295" customWidth="1"/>
    <col min="6419" max="6419" width="3.6640625" style="295" customWidth="1"/>
    <col min="6420" max="6420" width="10.6640625" style="295" customWidth="1"/>
    <col min="6421" max="6421" width="3.6640625" style="295" customWidth="1"/>
    <col min="6422" max="6422" width="10.6640625" style="295" customWidth="1"/>
    <col min="6423" max="6423" width="3.6640625" style="295" customWidth="1"/>
    <col min="6424" max="6424" width="10.6640625" style="295" customWidth="1"/>
    <col min="6425" max="6425" width="3.6640625" style="295" customWidth="1"/>
    <col min="6426" max="6426" width="4.6640625" style="295" customWidth="1"/>
    <col min="6427" max="6427" width="7.6640625" style="295" customWidth="1"/>
    <col min="6428" max="6428" width="1.6640625" style="295" customWidth="1"/>
    <col min="6429" max="6429" width="7.6640625" style="295" customWidth="1"/>
    <col min="6430" max="6430" width="1.6640625" style="295" customWidth="1"/>
    <col min="6431" max="6431" width="7.6640625" style="295" customWidth="1"/>
    <col min="6432" max="6432" width="1.6640625" style="295" customWidth="1"/>
    <col min="6433" max="6433" width="7.6640625" style="295" customWidth="1"/>
    <col min="6434" max="6434" width="1.6640625" style="295" customWidth="1"/>
    <col min="6435" max="6435" width="4.6640625" style="295" customWidth="1"/>
    <col min="6436" max="6436" width="1.6640625" style="295" customWidth="1"/>
    <col min="6437" max="6437" width="4.6640625" style="295" customWidth="1"/>
    <col min="6438" max="6438" width="1.6640625" style="295" customWidth="1"/>
    <col min="6439" max="6439" width="7.6640625" style="295" customWidth="1"/>
    <col min="6440" max="6440" width="1.6640625" style="295" customWidth="1"/>
    <col min="6441" max="6441" width="7.6640625" style="295" customWidth="1"/>
    <col min="6442" max="6443" width="1.6640625" style="295" customWidth="1"/>
    <col min="6444" max="6444" width="5.6640625" style="295" customWidth="1"/>
    <col min="6445" max="6445" width="9.6640625" style="295" customWidth="1"/>
    <col min="6446" max="6446" width="1.6640625" style="295" customWidth="1"/>
    <col min="6447" max="6447" width="9.6640625" style="295" customWidth="1"/>
    <col min="6448" max="6448" width="1.6640625" style="295" customWidth="1"/>
    <col min="6449" max="6449" width="9.6640625" style="295" customWidth="1"/>
    <col min="6450" max="6450" width="1.6640625" style="295" customWidth="1"/>
    <col min="6451" max="6451" width="9.6640625" style="295" customWidth="1"/>
    <col min="6452" max="6452" width="1.6640625" style="295" customWidth="1"/>
    <col min="6453" max="6453" width="8.6640625" style="295" customWidth="1"/>
    <col min="6454" max="6454" width="1.6640625" style="295" customWidth="1"/>
    <col min="6455" max="6455" width="8.6640625" style="295" customWidth="1"/>
    <col min="6456" max="6457" width="1.6640625" style="295" customWidth="1"/>
    <col min="6458" max="6458" width="3.6640625" style="295" customWidth="1"/>
    <col min="6459" max="6459" width="10.6640625" style="295" customWidth="1"/>
    <col min="6460" max="6460" width="1.6640625" style="295" customWidth="1"/>
    <col min="6461" max="6461" width="10.6640625" style="295" customWidth="1"/>
    <col min="6462" max="6462" width="1.6640625" style="295" customWidth="1"/>
    <col min="6463" max="6463" width="10.6640625" style="295" customWidth="1"/>
    <col min="6464" max="6464" width="1.6640625" style="295" customWidth="1"/>
    <col min="6465" max="6465" width="4.6640625" style="295" customWidth="1"/>
    <col min="6466" max="6478" width="9.109375" style="295"/>
    <col min="6479" max="6479" width="18.44140625" style="295" bestFit="1" customWidth="1"/>
    <col min="6480" max="6480" width="9.109375" style="295"/>
    <col min="6481" max="6481" width="2.6640625" style="295" customWidth="1"/>
    <col min="6482" max="6482" width="12.6640625" style="295" customWidth="1"/>
    <col min="6483" max="6654" width="9.109375" style="295"/>
    <col min="6655" max="6655" width="17.88671875" style="295" customWidth="1"/>
    <col min="6656" max="6656" width="9.44140625" style="295" bestFit="1" customWidth="1"/>
    <col min="6657" max="6657" width="3.6640625" style="295" customWidth="1"/>
    <col min="6658" max="6658" width="10.6640625" style="295" customWidth="1"/>
    <col min="6659" max="6659" width="3.6640625" style="295" customWidth="1"/>
    <col min="6660" max="6660" width="10.6640625" style="295" customWidth="1"/>
    <col min="6661" max="6661" width="3.6640625" style="295" customWidth="1"/>
    <col min="6662" max="6662" width="10.6640625" style="295" customWidth="1"/>
    <col min="6663" max="6663" width="3.6640625" style="295" customWidth="1"/>
    <col min="6664" max="6664" width="6.88671875" style="295" customWidth="1"/>
    <col min="6665" max="6665" width="3.6640625" style="295" customWidth="1"/>
    <col min="6666" max="6666" width="10.6640625" style="295" customWidth="1"/>
    <col min="6667" max="6669" width="3.6640625" style="295" customWidth="1"/>
    <col min="6670" max="6670" width="10.6640625" style="295" customWidth="1"/>
    <col min="6671" max="6671" width="3.6640625" style="295" customWidth="1"/>
    <col min="6672" max="6672" width="10.6640625" style="295" customWidth="1"/>
    <col min="6673" max="6673" width="3.6640625" style="295" customWidth="1"/>
    <col min="6674" max="6674" width="10.6640625" style="295" customWidth="1"/>
    <col min="6675" max="6675" width="3.6640625" style="295" customWidth="1"/>
    <col min="6676" max="6676" width="10.6640625" style="295" customWidth="1"/>
    <col min="6677" max="6677" width="3.6640625" style="295" customWidth="1"/>
    <col min="6678" max="6678" width="10.6640625" style="295" customWidth="1"/>
    <col min="6679" max="6679" width="3.6640625" style="295" customWidth="1"/>
    <col min="6680" max="6680" width="10.6640625" style="295" customWidth="1"/>
    <col min="6681" max="6681" width="3.6640625" style="295" customWidth="1"/>
    <col min="6682" max="6682" width="4.6640625" style="295" customWidth="1"/>
    <col min="6683" max="6683" width="7.6640625" style="295" customWidth="1"/>
    <col min="6684" max="6684" width="1.6640625" style="295" customWidth="1"/>
    <col min="6685" max="6685" width="7.6640625" style="295" customWidth="1"/>
    <col min="6686" max="6686" width="1.6640625" style="295" customWidth="1"/>
    <col min="6687" max="6687" width="7.6640625" style="295" customWidth="1"/>
    <col min="6688" max="6688" width="1.6640625" style="295" customWidth="1"/>
    <col min="6689" max="6689" width="7.6640625" style="295" customWidth="1"/>
    <col min="6690" max="6690" width="1.6640625" style="295" customWidth="1"/>
    <col min="6691" max="6691" width="4.6640625" style="295" customWidth="1"/>
    <col min="6692" max="6692" width="1.6640625" style="295" customWidth="1"/>
    <col min="6693" max="6693" width="4.6640625" style="295" customWidth="1"/>
    <col min="6694" max="6694" width="1.6640625" style="295" customWidth="1"/>
    <col min="6695" max="6695" width="7.6640625" style="295" customWidth="1"/>
    <col min="6696" max="6696" width="1.6640625" style="295" customWidth="1"/>
    <col min="6697" max="6697" width="7.6640625" style="295" customWidth="1"/>
    <col min="6698" max="6699" width="1.6640625" style="295" customWidth="1"/>
    <col min="6700" max="6700" width="5.6640625" style="295" customWidth="1"/>
    <col min="6701" max="6701" width="9.6640625" style="295" customWidth="1"/>
    <col min="6702" max="6702" width="1.6640625" style="295" customWidth="1"/>
    <col min="6703" max="6703" width="9.6640625" style="295" customWidth="1"/>
    <col min="6704" max="6704" width="1.6640625" style="295" customWidth="1"/>
    <col min="6705" max="6705" width="9.6640625" style="295" customWidth="1"/>
    <col min="6706" max="6706" width="1.6640625" style="295" customWidth="1"/>
    <col min="6707" max="6707" width="9.6640625" style="295" customWidth="1"/>
    <col min="6708" max="6708" width="1.6640625" style="295" customWidth="1"/>
    <col min="6709" max="6709" width="8.6640625" style="295" customWidth="1"/>
    <col min="6710" max="6710" width="1.6640625" style="295" customWidth="1"/>
    <col min="6711" max="6711" width="8.6640625" style="295" customWidth="1"/>
    <col min="6712" max="6713" width="1.6640625" style="295" customWidth="1"/>
    <col min="6714" max="6714" width="3.6640625" style="295" customWidth="1"/>
    <col min="6715" max="6715" width="10.6640625" style="295" customWidth="1"/>
    <col min="6716" max="6716" width="1.6640625" style="295" customWidth="1"/>
    <col min="6717" max="6717" width="10.6640625" style="295" customWidth="1"/>
    <col min="6718" max="6718" width="1.6640625" style="295" customWidth="1"/>
    <col min="6719" max="6719" width="10.6640625" style="295" customWidth="1"/>
    <col min="6720" max="6720" width="1.6640625" style="295" customWidth="1"/>
    <col min="6721" max="6721" width="4.6640625" style="295" customWidth="1"/>
    <col min="6722" max="6734" width="9.109375" style="295"/>
    <col min="6735" max="6735" width="18.44140625" style="295" bestFit="1" customWidth="1"/>
    <col min="6736" max="6736" width="9.109375" style="295"/>
    <col min="6737" max="6737" width="2.6640625" style="295" customWidth="1"/>
    <col min="6738" max="6738" width="12.6640625" style="295" customWidth="1"/>
    <col min="6739" max="6910" width="9.109375" style="295"/>
    <col min="6911" max="6911" width="17.88671875" style="295" customWidth="1"/>
    <col min="6912" max="6912" width="9.44140625" style="295" bestFit="1" customWidth="1"/>
    <col min="6913" max="6913" width="3.6640625" style="295" customWidth="1"/>
    <col min="6914" max="6914" width="10.6640625" style="295" customWidth="1"/>
    <col min="6915" max="6915" width="3.6640625" style="295" customWidth="1"/>
    <col min="6916" max="6916" width="10.6640625" style="295" customWidth="1"/>
    <col min="6917" max="6917" width="3.6640625" style="295" customWidth="1"/>
    <col min="6918" max="6918" width="10.6640625" style="295" customWidth="1"/>
    <col min="6919" max="6919" width="3.6640625" style="295" customWidth="1"/>
    <col min="6920" max="6920" width="6.88671875" style="295" customWidth="1"/>
    <col min="6921" max="6921" width="3.6640625" style="295" customWidth="1"/>
    <col min="6922" max="6922" width="10.6640625" style="295" customWidth="1"/>
    <col min="6923" max="6925" width="3.6640625" style="295" customWidth="1"/>
    <col min="6926" max="6926" width="10.6640625" style="295" customWidth="1"/>
    <col min="6927" max="6927" width="3.6640625" style="295" customWidth="1"/>
    <col min="6928" max="6928" width="10.6640625" style="295" customWidth="1"/>
    <col min="6929" max="6929" width="3.6640625" style="295" customWidth="1"/>
    <col min="6930" max="6930" width="10.6640625" style="295" customWidth="1"/>
    <col min="6931" max="6931" width="3.6640625" style="295" customWidth="1"/>
    <col min="6932" max="6932" width="10.6640625" style="295" customWidth="1"/>
    <col min="6933" max="6933" width="3.6640625" style="295" customWidth="1"/>
    <col min="6934" max="6934" width="10.6640625" style="295" customWidth="1"/>
    <col min="6935" max="6935" width="3.6640625" style="295" customWidth="1"/>
    <col min="6936" max="6936" width="10.6640625" style="295" customWidth="1"/>
    <col min="6937" max="6937" width="3.6640625" style="295" customWidth="1"/>
    <col min="6938" max="6938" width="4.6640625" style="295" customWidth="1"/>
    <col min="6939" max="6939" width="7.6640625" style="295" customWidth="1"/>
    <col min="6940" max="6940" width="1.6640625" style="295" customWidth="1"/>
    <col min="6941" max="6941" width="7.6640625" style="295" customWidth="1"/>
    <col min="6942" max="6942" width="1.6640625" style="295" customWidth="1"/>
    <col min="6943" max="6943" width="7.6640625" style="295" customWidth="1"/>
    <col min="6944" max="6944" width="1.6640625" style="295" customWidth="1"/>
    <col min="6945" max="6945" width="7.6640625" style="295" customWidth="1"/>
    <col min="6946" max="6946" width="1.6640625" style="295" customWidth="1"/>
    <col min="6947" max="6947" width="4.6640625" style="295" customWidth="1"/>
    <col min="6948" max="6948" width="1.6640625" style="295" customWidth="1"/>
    <col min="6949" max="6949" width="4.6640625" style="295" customWidth="1"/>
    <col min="6950" max="6950" width="1.6640625" style="295" customWidth="1"/>
    <col min="6951" max="6951" width="7.6640625" style="295" customWidth="1"/>
    <col min="6952" max="6952" width="1.6640625" style="295" customWidth="1"/>
    <col min="6953" max="6953" width="7.6640625" style="295" customWidth="1"/>
    <col min="6954" max="6955" width="1.6640625" style="295" customWidth="1"/>
    <col min="6956" max="6956" width="5.6640625" style="295" customWidth="1"/>
    <col min="6957" max="6957" width="9.6640625" style="295" customWidth="1"/>
    <col min="6958" max="6958" width="1.6640625" style="295" customWidth="1"/>
    <col min="6959" max="6959" width="9.6640625" style="295" customWidth="1"/>
    <col min="6960" max="6960" width="1.6640625" style="295" customWidth="1"/>
    <col min="6961" max="6961" width="9.6640625" style="295" customWidth="1"/>
    <col min="6962" max="6962" width="1.6640625" style="295" customWidth="1"/>
    <col min="6963" max="6963" width="9.6640625" style="295" customWidth="1"/>
    <col min="6964" max="6964" width="1.6640625" style="295" customWidth="1"/>
    <col min="6965" max="6965" width="8.6640625" style="295" customWidth="1"/>
    <col min="6966" max="6966" width="1.6640625" style="295" customWidth="1"/>
    <col min="6967" max="6967" width="8.6640625" style="295" customWidth="1"/>
    <col min="6968" max="6969" width="1.6640625" style="295" customWidth="1"/>
    <col min="6970" max="6970" width="3.6640625" style="295" customWidth="1"/>
    <col min="6971" max="6971" width="10.6640625" style="295" customWidth="1"/>
    <col min="6972" max="6972" width="1.6640625" style="295" customWidth="1"/>
    <col min="6973" max="6973" width="10.6640625" style="295" customWidth="1"/>
    <col min="6974" max="6974" width="1.6640625" style="295" customWidth="1"/>
    <col min="6975" max="6975" width="10.6640625" style="295" customWidth="1"/>
    <col min="6976" max="6976" width="1.6640625" style="295" customWidth="1"/>
    <col min="6977" max="6977" width="4.6640625" style="295" customWidth="1"/>
    <col min="6978" max="6990" width="9.109375" style="295"/>
    <col min="6991" max="6991" width="18.44140625" style="295" bestFit="1" customWidth="1"/>
    <col min="6992" max="6992" width="9.109375" style="295"/>
    <col min="6993" max="6993" width="2.6640625" style="295" customWidth="1"/>
    <col min="6994" max="6994" width="12.6640625" style="295" customWidth="1"/>
    <col min="6995" max="7166" width="9.109375" style="295"/>
    <col min="7167" max="7167" width="17.88671875" style="295" customWidth="1"/>
    <col min="7168" max="7168" width="9.44140625" style="295" bestFit="1" customWidth="1"/>
    <col min="7169" max="7169" width="3.6640625" style="295" customWidth="1"/>
    <col min="7170" max="7170" width="10.6640625" style="295" customWidth="1"/>
    <col min="7171" max="7171" width="3.6640625" style="295" customWidth="1"/>
    <col min="7172" max="7172" width="10.6640625" style="295" customWidth="1"/>
    <col min="7173" max="7173" width="3.6640625" style="295" customWidth="1"/>
    <col min="7174" max="7174" width="10.6640625" style="295" customWidth="1"/>
    <col min="7175" max="7175" width="3.6640625" style="295" customWidth="1"/>
    <col min="7176" max="7176" width="6.88671875" style="295" customWidth="1"/>
    <col min="7177" max="7177" width="3.6640625" style="295" customWidth="1"/>
    <col min="7178" max="7178" width="10.6640625" style="295" customWidth="1"/>
    <col min="7179" max="7181" width="3.6640625" style="295" customWidth="1"/>
    <col min="7182" max="7182" width="10.6640625" style="295" customWidth="1"/>
    <col min="7183" max="7183" width="3.6640625" style="295" customWidth="1"/>
    <col min="7184" max="7184" width="10.6640625" style="295" customWidth="1"/>
    <col min="7185" max="7185" width="3.6640625" style="295" customWidth="1"/>
    <col min="7186" max="7186" width="10.6640625" style="295" customWidth="1"/>
    <col min="7187" max="7187" width="3.6640625" style="295" customWidth="1"/>
    <col min="7188" max="7188" width="10.6640625" style="295" customWidth="1"/>
    <col min="7189" max="7189" width="3.6640625" style="295" customWidth="1"/>
    <col min="7190" max="7190" width="10.6640625" style="295" customWidth="1"/>
    <col min="7191" max="7191" width="3.6640625" style="295" customWidth="1"/>
    <col min="7192" max="7192" width="10.6640625" style="295" customWidth="1"/>
    <col min="7193" max="7193" width="3.6640625" style="295" customWidth="1"/>
    <col min="7194" max="7194" width="4.6640625" style="295" customWidth="1"/>
    <col min="7195" max="7195" width="7.6640625" style="295" customWidth="1"/>
    <col min="7196" max="7196" width="1.6640625" style="295" customWidth="1"/>
    <col min="7197" max="7197" width="7.6640625" style="295" customWidth="1"/>
    <col min="7198" max="7198" width="1.6640625" style="295" customWidth="1"/>
    <col min="7199" max="7199" width="7.6640625" style="295" customWidth="1"/>
    <col min="7200" max="7200" width="1.6640625" style="295" customWidth="1"/>
    <col min="7201" max="7201" width="7.6640625" style="295" customWidth="1"/>
    <col min="7202" max="7202" width="1.6640625" style="295" customWidth="1"/>
    <col min="7203" max="7203" width="4.6640625" style="295" customWidth="1"/>
    <col min="7204" max="7204" width="1.6640625" style="295" customWidth="1"/>
    <col min="7205" max="7205" width="4.6640625" style="295" customWidth="1"/>
    <col min="7206" max="7206" width="1.6640625" style="295" customWidth="1"/>
    <col min="7207" max="7207" width="7.6640625" style="295" customWidth="1"/>
    <col min="7208" max="7208" width="1.6640625" style="295" customWidth="1"/>
    <col min="7209" max="7209" width="7.6640625" style="295" customWidth="1"/>
    <col min="7210" max="7211" width="1.6640625" style="295" customWidth="1"/>
    <col min="7212" max="7212" width="5.6640625" style="295" customWidth="1"/>
    <col min="7213" max="7213" width="9.6640625" style="295" customWidth="1"/>
    <col min="7214" max="7214" width="1.6640625" style="295" customWidth="1"/>
    <col min="7215" max="7215" width="9.6640625" style="295" customWidth="1"/>
    <col min="7216" max="7216" width="1.6640625" style="295" customWidth="1"/>
    <col min="7217" max="7217" width="9.6640625" style="295" customWidth="1"/>
    <col min="7218" max="7218" width="1.6640625" style="295" customWidth="1"/>
    <col min="7219" max="7219" width="9.6640625" style="295" customWidth="1"/>
    <col min="7220" max="7220" width="1.6640625" style="295" customWidth="1"/>
    <col min="7221" max="7221" width="8.6640625" style="295" customWidth="1"/>
    <col min="7222" max="7222" width="1.6640625" style="295" customWidth="1"/>
    <col min="7223" max="7223" width="8.6640625" style="295" customWidth="1"/>
    <col min="7224" max="7225" width="1.6640625" style="295" customWidth="1"/>
    <col min="7226" max="7226" width="3.6640625" style="295" customWidth="1"/>
    <col min="7227" max="7227" width="10.6640625" style="295" customWidth="1"/>
    <col min="7228" max="7228" width="1.6640625" style="295" customWidth="1"/>
    <col min="7229" max="7229" width="10.6640625" style="295" customWidth="1"/>
    <col min="7230" max="7230" width="1.6640625" style="295" customWidth="1"/>
    <col min="7231" max="7231" width="10.6640625" style="295" customWidth="1"/>
    <col min="7232" max="7232" width="1.6640625" style="295" customWidth="1"/>
    <col min="7233" max="7233" width="4.6640625" style="295" customWidth="1"/>
    <col min="7234" max="7246" width="9.109375" style="295"/>
    <col min="7247" max="7247" width="18.44140625" style="295" bestFit="1" customWidth="1"/>
    <col min="7248" max="7248" width="9.109375" style="295"/>
    <col min="7249" max="7249" width="2.6640625" style="295" customWidth="1"/>
    <col min="7250" max="7250" width="12.6640625" style="295" customWidth="1"/>
    <col min="7251" max="7422" width="9.109375" style="295"/>
    <col min="7423" max="7423" width="17.88671875" style="295" customWidth="1"/>
    <col min="7424" max="7424" width="9.44140625" style="295" bestFit="1" customWidth="1"/>
    <col min="7425" max="7425" width="3.6640625" style="295" customWidth="1"/>
    <col min="7426" max="7426" width="10.6640625" style="295" customWidth="1"/>
    <col min="7427" max="7427" width="3.6640625" style="295" customWidth="1"/>
    <col min="7428" max="7428" width="10.6640625" style="295" customWidth="1"/>
    <col min="7429" max="7429" width="3.6640625" style="295" customWidth="1"/>
    <col min="7430" max="7430" width="10.6640625" style="295" customWidth="1"/>
    <col min="7431" max="7431" width="3.6640625" style="295" customWidth="1"/>
    <col min="7432" max="7432" width="6.88671875" style="295" customWidth="1"/>
    <col min="7433" max="7433" width="3.6640625" style="295" customWidth="1"/>
    <col min="7434" max="7434" width="10.6640625" style="295" customWidth="1"/>
    <col min="7435" max="7437" width="3.6640625" style="295" customWidth="1"/>
    <col min="7438" max="7438" width="10.6640625" style="295" customWidth="1"/>
    <col min="7439" max="7439" width="3.6640625" style="295" customWidth="1"/>
    <col min="7440" max="7440" width="10.6640625" style="295" customWidth="1"/>
    <col min="7441" max="7441" width="3.6640625" style="295" customWidth="1"/>
    <col min="7442" max="7442" width="10.6640625" style="295" customWidth="1"/>
    <col min="7443" max="7443" width="3.6640625" style="295" customWidth="1"/>
    <col min="7444" max="7444" width="10.6640625" style="295" customWidth="1"/>
    <col min="7445" max="7445" width="3.6640625" style="295" customWidth="1"/>
    <col min="7446" max="7446" width="10.6640625" style="295" customWidth="1"/>
    <col min="7447" max="7447" width="3.6640625" style="295" customWidth="1"/>
    <col min="7448" max="7448" width="10.6640625" style="295" customWidth="1"/>
    <col min="7449" max="7449" width="3.6640625" style="295" customWidth="1"/>
    <col min="7450" max="7450" width="4.6640625" style="295" customWidth="1"/>
    <col min="7451" max="7451" width="7.6640625" style="295" customWidth="1"/>
    <col min="7452" max="7452" width="1.6640625" style="295" customWidth="1"/>
    <col min="7453" max="7453" width="7.6640625" style="295" customWidth="1"/>
    <col min="7454" max="7454" width="1.6640625" style="295" customWidth="1"/>
    <col min="7455" max="7455" width="7.6640625" style="295" customWidth="1"/>
    <col min="7456" max="7456" width="1.6640625" style="295" customWidth="1"/>
    <col min="7457" max="7457" width="7.6640625" style="295" customWidth="1"/>
    <col min="7458" max="7458" width="1.6640625" style="295" customWidth="1"/>
    <col min="7459" max="7459" width="4.6640625" style="295" customWidth="1"/>
    <col min="7460" max="7460" width="1.6640625" style="295" customWidth="1"/>
    <col min="7461" max="7461" width="4.6640625" style="295" customWidth="1"/>
    <col min="7462" max="7462" width="1.6640625" style="295" customWidth="1"/>
    <col min="7463" max="7463" width="7.6640625" style="295" customWidth="1"/>
    <col min="7464" max="7464" width="1.6640625" style="295" customWidth="1"/>
    <col min="7465" max="7465" width="7.6640625" style="295" customWidth="1"/>
    <col min="7466" max="7467" width="1.6640625" style="295" customWidth="1"/>
    <col min="7468" max="7468" width="5.6640625" style="295" customWidth="1"/>
    <col min="7469" max="7469" width="9.6640625" style="295" customWidth="1"/>
    <col min="7470" max="7470" width="1.6640625" style="295" customWidth="1"/>
    <col min="7471" max="7471" width="9.6640625" style="295" customWidth="1"/>
    <col min="7472" max="7472" width="1.6640625" style="295" customWidth="1"/>
    <col min="7473" max="7473" width="9.6640625" style="295" customWidth="1"/>
    <col min="7474" max="7474" width="1.6640625" style="295" customWidth="1"/>
    <col min="7475" max="7475" width="9.6640625" style="295" customWidth="1"/>
    <col min="7476" max="7476" width="1.6640625" style="295" customWidth="1"/>
    <col min="7477" max="7477" width="8.6640625" style="295" customWidth="1"/>
    <col min="7478" max="7478" width="1.6640625" style="295" customWidth="1"/>
    <col min="7479" max="7479" width="8.6640625" style="295" customWidth="1"/>
    <col min="7480" max="7481" width="1.6640625" style="295" customWidth="1"/>
    <col min="7482" max="7482" width="3.6640625" style="295" customWidth="1"/>
    <col min="7483" max="7483" width="10.6640625" style="295" customWidth="1"/>
    <col min="7484" max="7484" width="1.6640625" style="295" customWidth="1"/>
    <col min="7485" max="7485" width="10.6640625" style="295" customWidth="1"/>
    <col min="7486" max="7486" width="1.6640625" style="295" customWidth="1"/>
    <col min="7487" max="7487" width="10.6640625" style="295" customWidth="1"/>
    <col min="7488" max="7488" width="1.6640625" style="295" customWidth="1"/>
    <col min="7489" max="7489" width="4.6640625" style="295" customWidth="1"/>
    <col min="7490" max="7502" width="9.109375" style="295"/>
    <col min="7503" max="7503" width="18.44140625" style="295" bestFit="1" customWidth="1"/>
    <col min="7504" max="7504" width="9.109375" style="295"/>
    <col min="7505" max="7505" width="2.6640625" style="295" customWidth="1"/>
    <col min="7506" max="7506" width="12.6640625" style="295" customWidth="1"/>
    <col min="7507" max="7678" width="9.109375" style="295"/>
    <col min="7679" max="7679" width="17.88671875" style="295" customWidth="1"/>
    <col min="7680" max="7680" width="9.44140625" style="295" bestFit="1" customWidth="1"/>
    <col min="7681" max="7681" width="3.6640625" style="295" customWidth="1"/>
    <col min="7682" max="7682" width="10.6640625" style="295" customWidth="1"/>
    <col min="7683" max="7683" width="3.6640625" style="295" customWidth="1"/>
    <col min="7684" max="7684" width="10.6640625" style="295" customWidth="1"/>
    <col min="7685" max="7685" width="3.6640625" style="295" customWidth="1"/>
    <col min="7686" max="7686" width="10.6640625" style="295" customWidth="1"/>
    <col min="7687" max="7687" width="3.6640625" style="295" customWidth="1"/>
    <col min="7688" max="7688" width="6.88671875" style="295" customWidth="1"/>
    <col min="7689" max="7689" width="3.6640625" style="295" customWidth="1"/>
    <col min="7690" max="7690" width="10.6640625" style="295" customWidth="1"/>
    <col min="7691" max="7693" width="3.6640625" style="295" customWidth="1"/>
    <col min="7694" max="7694" width="10.6640625" style="295" customWidth="1"/>
    <col min="7695" max="7695" width="3.6640625" style="295" customWidth="1"/>
    <col min="7696" max="7696" width="10.6640625" style="295" customWidth="1"/>
    <col min="7697" max="7697" width="3.6640625" style="295" customWidth="1"/>
    <col min="7698" max="7698" width="10.6640625" style="295" customWidth="1"/>
    <col min="7699" max="7699" width="3.6640625" style="295" customWidth="1"/>
    <col min="7700" max="7700" width="10.6640625" style="295" customWidth="1"/>
    <col min="7701" max="7701" width="3.6640625" style="295" customWidth="1"/>
    <col min="7702" max="7702" width="10.6640625" style="295" customWidth="1"/>
    <col min="7703" max="7703" width="3.6640625" style="295" customWidth="1"/>
    <col min="7704" max="7704" width="10.6640625" style="295" customWidth="1"/>
    <col min="7705" max="7705" width="3.6640625" style="295" customWidth="1"/>
    <col min="7706" max="7706" width="4.6640625" style="295" customWidth="1"/>
    <col min="7707" max="7707" width="7.6640625" style="295" customWidth="1"/>
    <col min="7708" max="7708" width="1.6640625" style="295" customWidth="1"/>
    <col min="7709" max="7709" width="7.6640625" style="295" customWidth="1"/>
    <col min="7710" max="7710" width="1.6640625" style="295" customWidth="1"/>
    <col min="7711" max="7711" width="7.6640625" style="295" customWidth="1"/>
    <col min="7712" max="7712" width="1.6640625" style="295" customWidth="1"/>
    <col min="7713" max="7713" width="7.6640625" style="295" customWidth="1"/>
    <col min="7714" max="7714" width="1.6640625" style="295" customWidth="1"/>
    <col min="7715" max="7715" width="4.6640625" style="295" customWidth="1"/>
    <col min="7716" max="7716" width="1.6640625" style="295" customWidth="1"/>
    <col min="7717" max="7717" width="4.6640625" style="295" customWidth="1"/>
    <col min="7718" max="7718" width="1.6640625" style="295" customWidth="1"/>
    <col min="7719" max="7719" width="7.6640625" style="295" customWidth="1"/>
    <col min="7720" max="7720" width="1.6640625" style="295" customWidth="1"/>
    <col min="7721" max="7721" width="7.6640625" style="295" customWidth="1"/>
    <col min="7722" max="7723" width="1.6640625" style="295" customWidth="1"/>
    <col min="7724" max="7724" width="5.6640625" style="295" customWidth="1"/>
    <col min="7725" max="7725" width="9.6640625" style="295" customWidth="1"/>
    <col min="7726" max="7726" width="1.6640625" style="295" customWidth="1"/>
    <col min="7727" max="7727" width="9.6640625" style="295" customWidth="1"/>
    <col min="7728" max="7728" width="1.6640625" style="295" customWidth="1"/>
    <col min="7729" max="7729" width="9.6640625" style="295" customWidth="1"/>
    <col min="7730" max="7730" width="1.6640625" style="295" customWidth="1"/>
    <col min="7731" max="7731" width="9.6640625" style="295" customWidth="1"/>
    <col min="7732" max="7732" width="1.6640625" style="295" customWidth="1"/>
    <col min="7733" max="7733" width="8.6640625" style="295" customWidth="1"/>
    <col min="7734" max="7734" width="1.6640625" style="295" customWidth="1"/>
    <col min="7735" max="7735" width="8.6640625" style="295" customWidth="1"/>
    <col min="7736" max="7737" width="1.6640625" style="295" customWidth="1"/>
    <col min="7738" max="7738" width="3.6640625" style="295" customWidth="1"/>
    <col min="7739" max="7739" width="10.6640625" style="295" customWidth="1"/>
    <col min="7740" max="7740" width="1.6640625" style="295" customWidth="1"/>
    <col min="7741" max="7741" width="10.6640625" style="295" customWidth="1"/>
    <col min="7742" max="7742" width="1.6640625" style="295" customWidth="1"/>
    <col min="7743" max="7743" width="10.6640625" style="295" customWidth="1"/>
    <col min="7744" max="7744" width="1.6640625" style="295" customWidth="1"/>
    <col min="7745" max="7745" width="4.6640625" style="295" customWidth="1"/>
    <col min="7746" max="7758" width="9.109375" style="295"/>
    <col min="7759" max="7759" width="18.44140625" style="295" bestFit="1" customWidth="1"/>
    <col min="7760" max="7760" width="9.109375" style="295"/>
    <col min="7761" max="7761" width="2.6640625" style="295" customWidth="1"/>
    <col min="7762" max="7762" width="12.6640625" style="295" customWidth="1"/>
    <col min="7763" max="7934" width="9.109375" style="295"/>
    <col min="7935" max="7935" width="17.88671875" style="295" customWidth="1"/>
    <col min="7936" max="7936" width="9.44140625" style="295" bestFit="1" customWidth="1"/>
    <col min="7937" max="7937" width="3.6640625" style="295" customWidth="1"/>
    <col min="7938" max="7938" width="10.6640625" style="295" customWidth="1"/>
    <col min="7939" max="7939" width="3.6640625" style="295" customWidth="1"/>
    <col min="7940" max="7940" width="10.6640625" style="295" customWidth="1"/>
    <col min="7941" max="7941" width="3.6640625" style="295" customWidth="1"/>
    <col min="7942" max="7942" width="10.6640625" style="295" customWidth="1"/>
    <col min="7943" max="7943" width="3.6640625" style="295" customWidth="1"/>
    <col min="7944" max="7944" width="6.88671875" style="295" customWidth="1"/>
    <col min="7945" max="7945" width="3.6640625" style="295" customWidth="1"/>
    <col min="7946" max="7946" width="10.6640625" style="295" customWidth="1"/>
    <col min="7947" max="7949" width="3.6640625" style="295" customWidth="1"/>
    <col min="7950" max="7950" width="10.6640625" style="295" customWidth="1"/>
    <col min="7951" max="7951" width="3.6640625" style="295" customWidth="1"/>
    <col min="7952" max="7952" width="10.6640625" style="295" customWidth="1"/>
    <col min="7953" max="7953" width="3.6640625" style="295" customWidth="1"/>
    <col min="7954" max="7954" width="10.6640625" style="295" customWidth="1"/>
    <col min="7955" max="7955" width="3.6640625" style="295" customWidth="1"/>
    <col min="7956" max="7956" width="10.6640625" style="295" customWidth="1"/>
    <col min="7957" max="7957" width="3.6640625" style="295" customWidth="1"/>
    <col min="7958" max="7958" width="10.6640625" style="295" customWidth="1"/>
    <col min="7959" max="7959" width="3.6640625" style="295" customWidth="1"/>
    <col min="7960" max="7960" width="10.6640625" style="295" customWidth="1"/>
    <col min="7961" max="7961" width="3.6640625" style="295" customWidth="1"/>
    <col min="7962" max="7962" width="4.6640625" style="295" customWidth="1"/>
    <col min="7963" max="7963" width="7.6640625" style="295" customWidth="1"/>
    <col min="7964" max="7964" width="1.6640625" style="295" customWidth="1"/>
    <col min="7965" max="7965" width="7.6640625" style="295" customWidth="1"/>
    <col min="7966" max="7966" width="1.6640625" style="295" customWidth="1"/>
    <col min="7967" max="7967" width="7.6640625" style="295" customWidth="1"/>
    <col min="7968" max="7968" width="1.6640625" style="295" customWidth="1"/>
    <col min="7969" max="7969" width="7.6640625" style="295" customWidth="1"/>
    <col min="7970" max="7970" width="1.6640625" style="295" customWidth="1"/>
    <col min="7971" max="7971" width="4.6640625" style="295" customWidth="1"/>
    <col min="7972" max="7972" width="1.6640625" style="295" customWidth="1"/>
    <col min="7973" max="7973" width="4.6640625" style="295" customWidth="1"/>
    <col min="7974" max="7974" width="1.6640625" style="295" customWidth="1"/>
    <col min="7975" max="7975" width="7.6640625" style="295" customWidth="1"/>
    <col min="7976" max="7976" width="1.6640625" style="295" customWidth="1"/>
    <col min="7977" max="7977" width="7.6640625" style="295" customWidth="1"/>
    <col min="7978" max="7979" width="1.6640625" style="295" customWidth="1"/>
    <col min="7980" max="7980" width="5.6640625" style="295" customWidth="1"/>
    <col min="7981" max="7981" width="9.6640625" style="295" customWidth="1"/>
    <col min="7982" max="7982" width="1.6640625" style="295" customWidth="1"/>
    <col min="7983" max="7983" width="9.6640625" style="295" customWidth="1"/>
    <col min="7984" max="7984" width="1.6640625" style="295" customWidth="1"/>
    <col min="7985" max="7985" width="9.6640625" style="295" customWidth="1"/>
    <col min="7986" max="7986" width="1.6640625" style="295" customWidth="1"/>
    <col min="7987" max="7987" width="9.6640625" style="295" customWidth="1"/>
    <col min="7988" max="7988" width="1.6640625" style="295" customWidth="1"/>
    <col min="7989" max="7989" width="8.6640625" style="295" customWidth="1"/>
    <col min="7990" max="7990" width="1.6640625" style="295" customWidth="1"/>
    <col min="7991" max="7991" width="8.6640625" style="295" customWidth="1"/>
    <col min="7992" max="7993" width="1.6640625" style="295" customWidth="1"/>
    <col min="7994" max="7994" width="3.6640625" style="295" customWidth="1"/>
    <col min="7995" max="7995" width="10.6640625" style="295" customWidth="1"/>
    <col min="7996" max="7996" width="1.6640625" style="295" customWidth="1"/>
    <col min="7997" max="7997" width="10.6640625" style="295" customWidth="1"/>
    <col min="7998" max="7998" width="1.6640625" style="295" customWidth="1"/>
    <col min="7999" max="7999" width="10.6640625" style="295" customWidth="1"/>
    <col min="8000" max="8000" width="1.6640625" style="295" customWidth="1"/>
    <col min="8001" max="8001" width="4.6640625" style="295" customWidth="1"/>
    <col min="8002" max="8014" width="9.109375" style="295"/>
    <col min="8015" max="8015" width="18.44140625" style="295" bestFit="1" customWidth="1"/>
    <col min="8016" max="8016" width="9.109375" style="295"/>
    <col min="8017" max="8017" width="2.6640625" style="295" customWidth="1"/>
    <col min="8018" max="8018" width="12.6640625" style="295" customWidth="1"/>
    <col min="8019" max="8190" width="9.109375" style="295"/>
    <col min="8191" max="8191" width="17.88671875" style="295" customWidth="1"/>
    <col min="8192" max="8192" width="9.44140625" style="295" bestFit="1" customWidth="1"/>
    <col min="8193" max="8193" width="3.6640625" style="295" customWidth="1"/>
    <col min="8194" max="8194" width="10.6640625" style="295" customWidth="1"/>
    <col min="8195" max="8195" width="3.6640625" style="295" customWidth="1"/>
    <col min="8196" max="8196" width="10.6640625" style="295" customWidth="1"/>
    <col min="8197" max="8197" width="3.6640625" style="295" customWidth="1"/>
    <col min="8198" max="8198" width="10.6640625" style="295" customWidth="1"/>
    <col min="8199" max="8199" width="3.6640625" style="295" customWidth="1"/>
    <col min="8200" max="8200" width="6.88671875" style="295" customWidth="1"/>
    <col min="8201" max="8201" width="3.6640625" style="295" customWidth="1"/>
    <col min="8202" max="8202" width="10.6640625" style="295" customWidth="1"/>
    <col min="8203" max="8205" width="3.6640625" style="295" customWidth="1"/>
    <col min="8206" max="8206" width="10.6640625" style="295" customWidth="1"/>
    <col min="8207" max="8207" width="3.6640625" style="295" customWidth="1"/>
    <col min="8208" max="8208" width="10.6640625" style="295" customWidth="1"/>
    <col min="8209" max="8209" width="3.6640625" style="295" customWidth="1"/>
    <col min="8210" max="8210" width="10.6640625" style="295" customWidth="1"/>
    <col min="8211" max="8211" width="3.6640625" style="295" customWidth="1"/>
    <col min="8212" max="8212" width="10.6640625" style="295" customWidth="1"/>
    <col min="8213" max="8213" width="3.6640625" style="295" customWidth="1"/>
    <col min="8214" max="8214" width="10.6640625" style="295" customWidth="1"/>
    <col min="8215" max="8215" width="3.6640625" style="295" customWidth="1"/>
    <col min="8216" max="8216" width="10.6640625" style="295" customWidth="1"/>
    <col min="8217" max="8217" width="3.6640625" style="295" customWidth="1"/>
    <col min="8218" max="8218" width="4.6640625" style="295" customWidth="1"/>
    <col min="8219" max="8219" width="7.6640625" style="295" customWidth="1"/>
    <col min="8220" max="8220" width="1.6640625" style="295" customWidth="1"/>
    <col min="8221" max="8221" width="7.6640625" style="295" customWidth="1"/>
    <col min="8222" max="8222" width="1.6640625" style="295" customWidth="1"/>
    <col min="8223" max="8223" width="7.6640625" style="295" customWidth="1"/>
    <col min="8224" max="8224" width="1.6640625" style="295" customWidth="1"/>
    <col min="8225" max="8225" width="7.6640625" style="295" customWidth="1"/>
    <col min="8226" max="8226" width="1.6640625" style="295" customWidth="1"/>
    <col min="8227" max="8227" width="4.6640625" style="295" customWidth="1"/>
    <col min="8228" max="8228" width="1.6640625" style="295" customWidth="1"/>
    <col min="8229" max="8229" width="4.6640625" style="295" customWidth="1"/>
    <col min="8230" max="8230" width="1.6640625" style="295" customWidth="1"/>
    <col min="8231" max="8231" width="7.6640625" style="295" customWidth="1"/>
    <col min="8232" max="8232" width="1.6640625" style="295" customWidth="1"/>
    <col min="8233" max="8233" width="7.6640625" style="295" customWidth="1"/>
    <col min="8234" max="8235" width="1.6640625" style="295" customWidth="1"/>
    <col min="8236" max="8236" width="5.6640625" style="295" customWidth="1"/>
    <col min="8237" max="8237" width="9.6640625" style="295" customWidth="1"/>
    <col min="8238" max="8238" width="1.6640625" style="295" customWidth="1"/>
    <col min="8239" max="8239" width="9.6640625" style="295" customWidth="1"/>
    <col min="8240" max="8240" width="1.6640625" style="295" customWidth="1"/>
    <col min="8241" max="8241" width="9.6640625" style="295" customWidth="1"/>
    <col min="8242" max="8242" width="1.6640625" style="295" customWidth="1"/>
    <col min="8243" max="8243" width="9.6640625" style="295" customWidth="1"/>
    <col min="8244" max="8244" width="1.6640625" style="295" customWidth="1"/>
    <col min="8245" max="8245" width="8.6640625" style="295" customWidth="1"/>
    <col min="8246" max="8246" width="1.6640625" style="295" customWidth="1"/>
    <col min="8247" max="8247" width="8.6640625" style="295" customWidth="1"/>
    <col min="8248" max="8249" width="1.6640625" style="295" customWidth="1"/>
    <col min="8250" max="8250" width="3.6640625" style="295" customWidth="1"/>
    <col min="8251" max="8251" width="10.6640625" style="295" customWidth="1"/>
    <col min="8252" max="8252" width="1.6640625" style="295" customWidth="1"/>
    <col min="8253" max="8253" width="10.6640625" style="295" customWidth="1"/>
    <col min="8254" max="8254" width="1.6640625" style="295" customWidth="1"/>
    <col min="8255" max="8255" width="10.6640625" style="295" customWidth="1"/>
    <col min="8256" max="8256" width="1.6640625" style="295" customWidth="1"/>
    <col min="8257" max="8257" width="4.6640625" style="295" customWidth="1"/>
    <col min="8258" max="8270" width="9.109375" style="295"/>
    <col min="8271" max="8271" width="18.44140625" style="295" bestFit="1" customWidth="1"/>
    <col min="8272" max="8272" width="9.109375" style="295"/>
    <col min="8273" max="8273" width="2.6640625" style="295" customWidth="1"/>
    <col min="8274" max="8274" width="12.6640625" style="295" customWidth="1"/>
    <col min="8275" max="8446" width="9.109375" style="295"/>
    <col min="8447" max="8447" width="17.88671875" style="295" customWidth="1"/>
    <col min="8448" max="8448" width="9.44140625" style="295" bestFit="1" customWidth="1"/>
    <col min="8449" max="8449" width="3.6640625" style="295" customWidth="1"/>
    <col min="8450" max="8450" width="10.6640625" style="295" customWidth="1"/>
    <col min="8451" max="8451" width="3.6640625" style="295" customWidth="1"/>
    <col min="8452" max="8452" width="10.6640625" style="295" customWidth="1"/>
    <col min="8453" max="8453" width="3.6640625" style="295" customWidth="1"/>
    <col min="8454" max="8454" width="10.6640625" style="295" customWidth="1"/>
    <col min="8455" max="8455" width="3.6640625" style="295" customWidth="1"/>
    <col min="8456" max="8456" width="6.88671875" style="295" customWidth="1"/>
    <col min="8457" max="8457" width="3.6640625" style="295" customWidth="1"/>
    <col min="8458" max="8458" width="10.6640625" style="295" customWidth="1"/>
    <col min="8459" max="8461" width="3.6640625" style="295" customWidth="1"/>
    <col min="8462" max="8462" width="10.6640625" style="295" customWidth="1"/>
    <col min="8463" max="8463" width="3.6640625" style="295" customWidth="1"/>
    <col min="8464" max="8464" width="10.6640625" style="295" customWidth="1"/>
    <col min="8465" max="8465" width="3.6640625" style="295" customWidth="1"/>
    <col min="8466" max="8466" width="10.6640625" style="295" customWidth="1"/>
    <col min="8467" max="8467" width="3.6640625" style="295" customWidth="1"/>
    <col min="8468" max="8468" width="10.6640625" style="295" customWidth="1"/>
    <col min="8469" max="8469" width="3.6640625" style="295" customWidth="1"/>
    <col min="8470" max="8470" width="10.6640625" style="295" customWidth="1"/>
    <col min="8471" max="8471" width="3.6640625" style="295" customWidth="1"/>
    <col min="8472" max="8472" width="10.6640625" style="295" customWidth="1"/>
    <col min="8473" max="8473" width="3.6640625" style="295" customWidth="1"/>
    <col min="8474" max="8474" width="4.6640625" style="295" customWidth="1"/>
    <col min="8475" max="8475" width="7.6640625" style="295" customWidth="1"/>
    <col min="8476" max="8476" width="1.6640625" style="295" customWidth="1"/>
    <col min="8477" max="8477" width="7.6640625" style="295" customWidth="1"/>
    <col min="8478" max="8478" width="1.6640625" style="295" customWidth="1"/>
    <col min="8479" max="8479" width="7.6640625" style="295" customWidth="1"/>
    <col min="8480" max="8480" width="1.6640625" style="295" customWidth="1"/>
    <col min="8481" max="8481" width="7.6640625" style="295" customWidth="1"/>
    <col min="8482" max="8482" width="1.6640625" style="295" customWidth="1"/>
    <col min="8483" max="8483" width="4.6640625" style="295" customWidth="1"/>
    <col min="8484" max="8484" width="1.6640625" style="295" customWidth="1"/>
    <col min="8485" max="8485" width="4.6640625" style="295" customWidth="1"/>
    <col min="8486" max="8486" width="1.6640625" style="295" customWidth="1"/>
    <col min="8487" max="8487" width="7.6640625" style="295" customWidth="1"/>
    <col min="8488" max="8488" width="1.6640625" style="295" customWidth="1"/>
    <col min="8489" max="8489" width="7.6640625" style="295" customWidth="1"/>
    <col min="8490" max="8491" width="1.6640625" style="295" customWidth="1"/>
    <col min="8492" max="8492" width="5.6640625" style="295" customWidth="1"/>
    <col min="8493" max="8493" width="9.6640625" style="295" customWidth="1"/>
    <col min="8494" max="8494" width="1.6640625" style="295" customWidth="1"/>
    <col min="8495" max="8495" width="9.6640625" style="295" customWidth="1"/>
    <col min="8496" max="8496" width="1.6640625" style="295" customWidth="1"/>
    <col min="8497" max="8497" width="9.6640625" style="295" customWidth="1"/>
    <col min="8498" max="8498" width="1.6640625" style="295" customWidth="1"/>
    <col min="8499" max="8499" width="9.6640625" style="295" customWidth="1"/>
    <col min="8500" max="8500" width="1.6640625" style="295" customWidth="1"/>
    <col min="8501" max="8501" width="8.6640625" style="295" customWidth="1"/>
    <col min="8502" max="8502" width="1.6640625" style="295" customWidth="1"/>
    <col min="8503" max="8503" width="8.6640625" style="295" customWidth="1"/>
    <col min="8504" max="8505" width="1.6640625" style="295" customWidth="1"/>
    <col min="8506" max="8506" width="3.6640625" style="295" customWidth="1"/>
    <col min="8507" max="8507" width="10.6640625" style="295" customWidth="1"/>
    <col min="8508" max="8508" width="1.6640625" style="295" customWidth="1"/>
    <col min="8509" max="8509" width="10.6640625" style="295" customWidth="1"/>
    <col min="8510" max="8510" width="1.6640625" style="295" customWidth="1"/>
    <col min="8511" max="8511" width="10.6640625" style="295" customWidth="1"/>
    <col min="8512" max="8512" width="1.6640625" style="295" customWidth="1"/>
    <col min="8513" max="8513" width="4.6640625" style="295" customWidth="1"/>
    <col min="8514" max="8526" width="9.109375" style="295"/>
    <col min="8527" max="8527" width="18.44140625" style="295" bestFit="1" customWidth="1"/>
    <col min="8528" max="8528" width="9.109375" style="295"/>
    <col min="8529" max="8529" width="2.6640625" style="295" customWidth="1"/>
    <col min="8530" max="8530" width="12.6640625" style="295" customWidth="1"/>
    <col min="8531" max="8702" width="9.109375" style="295"/>
    <col min="8703" max="8703" width="17.88671875" style="295" customWidth="1"/>
    <col min="8704" max="8704" width="9.44140625" style="295" bestFit="1" customWidth="1"/>
    <col min="8705" max="8705" width="3.6640625" style="295" customWidth="1"/>
    <col min="8706" max="8706" width="10.6640625" style="295" customWidth="1"/>
    <col min="8707" max="8707" width="3.6640625" style="295" customWidth="1"/>
    <col min="8708" max="8708" width="10.6640625" style="295" customWidth="1"/>
    <col min="8709" max="8709" width="3.6640625" style="295" customWidth="1"/>
    <col min="8710" max="8710" width="10.6640625" style="295" customWidth="1"/>
    <col min="8711" max="8711" width="3.6640625" style="295" customWidth="1"/>
    <col min="8712" max="8712" width="6.88671875" style="295" customWidth="1"/>
    <col min="8713" max="8713" width="3.6640625" style="295" customWidth="1"/>
    <col min="8714" max="8714" width="10.6640625" style="295" customWidth="1"/>
    <col min="8715" max="8717" width="3.6640625" style="295" customWidth="1"/>
    <col min="8718" max="8718" width="10.6640625" style="295" customWidth="1"/>
    <col min="8719" max="8719" width="3.6640625" style="295" customWidth="1"/>
    <col min="8720" max="8720" width="10.6640625" style="295" customWidth="1"/>
    <col min="8721" max="8721" width="3.6640625" style="295" customWidth="1"/>
    <col min="8722" max="8722" width="10.6640625" style="295" customWidth="1"/>
    <col min="8723" max="8723" width="3.6640625" style="295" customWidth="1"/>
    <col min="8724" max="8724" width="10.6640625" style="295" customWidth="1"/>
    <col min="8725" max="8725" width="3.6640625" style="295" customWidth="1"/>
    <col min="8726" max="8726" width="10.6640625" style="295" customWidth="1"/>
    <col min="8727" max="8727" width="3.6640625" style="295" customWidth="1"/>
    <col min="8728" max="8728" width="10.6640625" style="295" customWidth="1"/>
    <col min="8729" max="8729" width="3.6640625" style="295" customWidth="1"/>
    <col min="8730" max="8730" width="4.6640625" style="295" customWidth="1"/>
    <col min="8731" max="8731" width="7.6640625" style="295" customWidth="1"/>
    <col min="8732" max="8732" width="1.6640625" style="295" customWidth="1"/>
    <col min="8733" max="8733" width="7.6640625" style="295" customWidth="1"/>
    <col min="8734" max="8734" width="1.6640625" style="295" customWidth="1"/>
    <col min="8735" max="8735" width="7.6640625" style="295" customWidth="1"/>
    <col min="8736" max="8736" width="1.6640625" style="295" customWidth="1"/>
    <col min="8737" max="8737" width="7.6640625" style="295" customWidth="1"/>
    <col min="8738" max="8738" width="1.6640625" style="295" customWidth="1"/>
    <col min="8739" max="8739" width="4.6640625" style="295" customWidth="1"/>
    <col min="8740" max="8740" width="1.6640625" style="295" customWidth="1"/>
    <col min="8741" max="8741" width="4.6640625" style="295" customWidth="1"/>
    <col min="8742" max="8742" width="1.6640625" style="295" customWidth="1"/>
    <col min="8743" max="8743" width="7.6640625" style="295" customWidth="1"/>
    <col min="8744" max="8744" width="1.6640625" style="295" customWidth="1"/>
    <col min="8745" max="8745" width="7.6640625" style="295" customWidth="1"/>
    <col min="8746" max="8747" width="1.6640625" style="295" customWidth="1"/>
    <col min="8748" max="8748" width="5.6640625" style="295" customWidth="1"/>
    <col min="8749" max="8749" width="9.6640625" style="295" customWidth="1"/>
    <col min="8750" max="8750" width="1.6640625" style="295" customWidth="1"/>
    <col min="8751" max="8751" width="9.6640625" style="295" customWidth="1"/>
    <col min="8752" max="8752" width="1.6640625" style="295" customWidth="1"/>
    <col min="8753" max="8753" width="9.6640625" style="295" customWidth="1"/>
    <col min="8754" max="8754" width="1.6640625" style="295" customWidth="1"/>
    <col min="8755" max="8755" width="9.6640625" style="295" customWidth="1"/>
    <col min="8756" max="8756" width="1.6640625" style="295" customWidth="1"/>
    <col min="8757" max="8757" width="8.6640625" style="295" customWidth="1"/>
    <col min="8758" max="8758" width="1.6640625" style="295" customWidth="1"/>
    <col min="8759" max="8759" width="8.6640625" style="295" customWidth="1"/>
    <col min="8760" max="8761" width="1.6640625" style="295" customWidth="1"/>
    <col min="8762" max="8762" width="3.6640625" style="295" customWidth="1"/>
    <col min="8763" max="8763" width="10.6640625" style="295" customWidth="1"/>
    <col min="8764" max="8764" width="1.6640625" style="295" customWidth="1"/>
    <col min="8765" max="8765" width="10.6640625" style="295" customWidth="1"/>
    <col min="8766" max="8766" width="1.6640625" style="295" customWidth="1"/>
    <col min="8767" max="8767" width="10.6640625" style="295" customWidth="1"/>
    <col min="8768" max="8768" width="1.6640625" style="295" customWidth="1"/>
    <col min="8769" max="8769" width="4.6640625" style="295" customWidth="1"/>
    <col min="8770" max="8782" width="9.109375" style="295"/>
    <col min="8783" max="8783" width="18.44140625" style="295" bestFit="1" customWidth="1"/>
    <col min="8784" max="8784" width="9.109375" style="295"/>
    <col min="8785" max="8785" width="2.6640625" style="295" customWidth="1"/>
    <col min="8786" max="8786" width="12.6640625" style="295" customWidth="1"/>
    <col min="8787" max="8958" width="9.109375" style="295"/>
    <col min="8959" max="8959" width="17.88671875" style="295" customWidth="1"/>
    <col min="8960" max="8960" width="9.44140625" style="295" bestFit="1" customWidth="1"/>
    <col min="8961" max="8961" width="3.6640625" style="295" customWidth="1"/>
    <col min="8962" max="8962" width="10.6640625" style="295" customWidth="1"/>
    <col min="8963" max="8963" width="3.6640625" style="295" customWidth="1"/>
    <col min="8964" max="8964" width="10.6640625" style="295" customWidth="1"/>
    <col min="8965" max="8965" width="3.6640625" style="295" customWidth="1"/>
    <col min="8966" max="8966" width="10.6640625" style="295" customWidth="1"/>
    <col min="8967" max="8967" width="3.6640625" style="295" customWidth="1"/>
    <col min="8968" max="8968" width="6.88671875" style="295" customWidth="1"/>
    <col min="8969" max="8969" width="3.6640625" style="295" customWidth="1"/>
    <col min="8970" max="8970" width="10.6640625" style="295" customWidth="1"/>
    <col min="8971" max="8973" width="3.6640625" style="295" customWidth="1"/>
    <col min="8974" max="8974" width="10.6640625" style="295" customWidth="1"/>
    <col min="8975" max="8975" width="3.6640625" style="295" customWidth="1"/>
    <col min="8976" max="8976" width="10.6640625" style="295" customWidth="1"/>
    <col min="8977" max="8977" width="3.6640625" style="295" customWidth="1"/>
    <col min="8978" max="8978" width="10.6640625" style="295" customWidth="1"/>
    <col min="8979" max="8979" width="3.6640625" style="295" customWidth="1"/>
    <col min="8980" max="8980" width="10.6640625" style="295" customWidth="1"/>
    <col min="8981" max="8981" width="3.6640625" style="295" customWidth="1"/>
    <col min="8982" max="8982" width="10.6640625" style="295" customWidth="1"/>
    <col min="8983" max="8983" width="3.6640625" style="295" customWidth="1"/>
    <col min="8984" max="8984" width="10.6640625" style="295" customWidth="1"/>
    <col min="8985" max="8985" width="3.6640625" style="295" customWidth="1"/>
    <col min="8986" max="8986" width="4.6640625" style="295" customWidth="1"/>
    <col min="8987" max="8987" width="7.6640625" style="295" customWidth="1"/>
    <col min="8988" max="8988" width="1.6640625" style="295" customWidth="1"/>
    <col min="8989" max="8989" width="7.6640625" style="295" customWidth="1"/>
    <col min="8990" max="8990" width="1.6640625" style="295" customWidth="1"/>
    <col min="8991" max="8991" width="7.6640625" style="295" customWidth="1"/>
    <col min="8992" max="8992" width="1.6640625" style="295" customWidth="1"/>
    <col min="8993" max="8993" width="7.6640625" style="295" customWidth="1"/>
    <col min="8994" max="8994" width="1.6640625" style="295" customWidth="1"/>
    <col min="8995" max="8995" width="4.6640625" style="295" customWidth="1"/>
    <col min="8996" max="8996" width="1.6640625" style="295" customWidth="1"/>
    <col min="8997" max="8997" width="4.6640625" style="295" customWidth="1"/>
    <col min="8998" max="8998" width="1.6640625" style="295" customWidth="1"/>
    <col min="8999" max="8999" width="7.6640625" style="295" customWidth="1"/>
    <col min="9000" max="9000" width="1.6640625" style="295" customWidth="1"/>
    <col min="9001" max="9001" width="7.6640625" style="295" customWidth="1"/>
    <col min="9002" max="9003" width="1.6640625" style="295" customWidth="1"/>
    <col min="9004" max="9004" width="5.6640625" style="295" customWidth="1"/>
    <col min="9005" max="9005" width="9.6640625" style="295" customWidth="1"/>
    <col min="9006" max="9006" width="1.6640625" style="295" customWidth="1"/>
    <col min="9007" max="9007" width="9.6640625" style="295" customWidth="1"/>
    <col min="9008" max="9008" width="1.6640625" style="295" customWidth="1"/>
    <col min="9009" max="9009" width="9.6640625" style="295" customWidth="1"/>
    <col min="9010" max="9010" width="1.6640625" style="295" customWidth="1"/>
    <col min="9011" max="9011" width="9.6640625" style="295" customWidth="1"/>
    <col min="9012" max="9012" width="1.6640625" style="295" customWidth="1"/>
    <col min="9013" max="9013" width="8.6640625" style="295" customWidth="1"/>
    <col min="9014" max="9014" width="1.6640625" style="295" customWidth="1"/>
    <col min="9015" max="9015" width="8.6640625" style="295" customWidth="1"/>
    <col min="9016" max="9017" width="1.6640625" style="295" customWidth="1"/>
    <col min="9018" max="9018" width="3.6640625" style="295" customWidth="1"/>
    <col min="9019" max="9019" width="10.6640625" style="295" customWidth="1"/>
    <col min="9020" max="9020" width="1.6640625" style="295" customWidth="1"/>
    <col min="9021" max="9021" width="10.6640625" style="295" customWidth="1"/>
    <col min="9022" max="9022" width="1.6640625" style="295" customWidth="1"/>
    <col min="9023" max="9023" width="10.6640625" style="295" customWidth="1"/>
    <col min="9024" max="9024" width="1.6640625" style="295" customWidth="1"/>
    <col min="9025" max="9025" width="4.6640625" style="295" customWidth="1"/>
    <col min="9026" max="9038" width="9.109375" style="295"/>
    <col min="9039" max="9039" width="18.44140625" style="295" bestFit="1" customWidth="1"/>
    <col min="9040" max="9040" width="9.109375" style="295"/>
    <col min="9041" max="9041" width="2.6640625" style="295" customWidth="1"/>
    <col min="9042" max="9042" width="12.6640625" style="295" customWidth="1"/>
    <col min="9043" max="9214" width="9.109375" style="295"/>
    <col min="9215" max="9215" width="17.88671875" style="295" customWidth="1"/>
    <col min="9216" max="9216" width="9.44140625" style="295" bestFit="1" customWidth="1"/>
    <col min="9217" max="9217" width="3.6640625" style="295" customWidth="1"/>
    <col min="9218" max="9218" width="10.6640625" style="295" customWidth="1"/>
    <col min="9219" max="9219" width="3.6640625" style="295" customWidth="1"/>
    <col min="9220" max="9220" width="10.6640625" style="295" customWidth="1"/>
    <col min="9221" max="9221" width="3.6640625" style="295" customWidth="1"/>
    <col min="9222" max="9222" width="10.6640625" style="295" customWidth="1"/>
    <col min="9223" max="9223" width="3.6640625" style="295" customWidth="1"/>
    <col min="9224" max="9224" width="6.88671875" style="295" customWidth="1"/>
    <col min="9225" max="9225" width="3.6640625" style="295" customWidth="1"/>
    <col min="9226" max="9226" width="10.6640625" style="295" customWidth="1"/>
    <col min="9227" max="9229" width="3.6640625" style="295" customWidth="1"/>
    <col min="9230" max="9230" width="10.6640625" style="295" customWidth="1"/>
    <col min="9231" max="9231" width="3.6640625" style="295" customWidth="1"/>
    <col min="9232" max="9232" width="10.6640625" style="295" customWidth="1"/>
    <col min="9233" max="9233" width="3.6640625" style="295" customWidth="1"/>
    <col min="9234" max="9234" width="10.6640625" style="295" customWidth="1"/>
    <col min="9235" max="9235" width="3.6640625" style="295" customWidth="1"/>
    <col min="9236" max="9236" width="10.6640625" style="295" customWidth="1"/>
    <col min="9237" max="9237" width="3.6640625" style="295" customWidth="1"/>
    <col min="9238" max="9238" width="10.6640625" style="295" customWidth="1"/>
    <col min="9239" max="9239" width="3.6640625" style="295" customWidth="1"/>
    <col min="9240" max="9240" width="10.6640625" style="295" customWidth="1"/>
    <col min="9241" max="9241" width="3.6640625" style="295" customWidth="1"/>
    <col min="9242" max="9242" width="4.6640625" style="295" customWidth="1"/>
    <col min="9243" max="9243" width="7.6640625" style="295" customWidth="1"/>
    <col min="9244" max="9244" width="1.6640625" style="295" customWidth="1"/>
    <col min="9245" max="9245" width="7.6640625" style="295" customWidth="1"/>
    <col min="9246" max="9246" width="1.6640625" style="295" customWidth="1"/>
    <col min="9247" max="9247" width="7.6640625" style="295" customWidth="1"/>
    <col min="9248" max="9248" width="1.6640625" style="295" customWidth="1"/>
    <col min="9249" max="9249" width="7.6640625" style="295" customWidth="1"/>
    <col min="9250" max="9250" width="1.6640625" style="295" customWidth="1"/>
    <col min="9251" max="9251" width="4.6640625" style="295" customWidth="1"/>
    <col min="9252" max="9252" width="1.6640625" style="295" customWidth="1"/>
    <col min="9253" max="9253" width="4.6640625" style="295" customWidth="1"/>
    <col min="9254" max="9254" width="1.6640625" style="295" customWidth="1"/>
    <col min="9255" max="9255" width="7.6640625" style="295" customWidth="1"/>
    <col min="9256" max="9256" width="1.6640625" style="295" customWidth="1"/>
    <col min="9257" max="9257" width="7.6640625" style="295" customWidth="1"/>
    <col min="9258" max="9259" width="1.6640625" style="295" customWidth="1"/>
    <col min="9260" max="9260" width="5.6640625" style="295" customWidth="1"/>
    <col min="9261" max="9261" width="9.6640625" style="295" customWidth="1"/>
    <col min="9262" max="9262" width="1.6640625" style="295" customWidth="1"/>
    <col min="9263" max="9263" width="9.6640625" style="295" customWidth="1"/>
    <col min="9264" max="9264" width="1.6640625" style="295" customWidth="1"/>
    <col min="9265" max="9265" width="9.6640625" style="295" customWidth="1"/>
    <col min="9266" max="9266" width="1.6640625" style="295" customWidth="1"/>
    <col min="9267" max="9267" width="9.6640625" style="295" customWidth="1"/>
    <col min="9268" max="9268" width="1.6640625" style="295" customWidth="1"/>
    <col min="9269" max="9269" width="8.6640625" style="295" customWidth="1"/>
    <col min="9270" max="9270" width="1.6640625" style="295" customWidth="1"/>
    <col min="9271" max="9271" width="8.6640625" style="295" customWidth="1"/>
    <col min="9272" max="9273" width="1.6640625" style="295" customWidth="1"/>
    <col min="9274" max="9274" width="3.6640625" style="295" customWidth="1"/>
    <col min="9275" max="9275" width="10.6640625" style="295" customWidth="1"/>
    <col min="9276" max="9276" width="1.6640625" style="295" customWidth="1"/>
    <col min="9277" max="9277" width="10.6640625" style="295" customWidth="1"/>
    <col min="9278" max="9278" width="1.6640625" style="295" customWidth="1"/>
    <col min="9279" max="9279" width="10.6640625" style="295" customWidth="1"/>
    <col min="9280" max="9280" width="1.6640625" style="295" customWidth="1"/>
    <col min="9281" max="9281" width="4.6640625" style="295" customWidth="1"/>
    <col min="9282" max="9294" width="9.109375" style="295"/>
    <col min="9295" max="9295" width="18.44140625" style="295" bestFit="1" customWidth="1"/>
    <col min="9296" max="9296" width="9.109375" style="295"/>
    <col min="9297" max="9297" width="2.6640625" style="295" customWidth="1"/>
    <col min="9298" max="9298" width="12.6640625" style="295" customWidth="1"/>
    <col min="9299" max="9470" width="9.109375" style="295"/>
    <col min="9471" max="9471" width="17.88671875" style="295" customWidth="1"/>
    <col min="9472" max="9472" width="9.44140625" style="295" bestFit="1" customWidth="1"/>
    <col min="9473" max="9473" width="3.6640625" style="295" customWidth="1"/>
    <col min="9474" max="9474" width="10.6640625" style="295" customWidth="1"/>
    <col min="9475" max="9475" width="3.6640625" style="295" customWidth="1"/>
    <col min="9476" max="9476" width="10.6640625" style="295" customWidth="1"/>
    <col min="9477" max="9477" width="3.6640625" style="295" customWidth="1"/>
    <col min="9478" max="9478" width="10.6640625" style="295" customWidth="1"/>
    <col min="9479" max="9479" width="3.6640625" style="295" customWidth="1"/>
    <col min="9480" max="9480" width="6.88671875" style="295" customWidth="1"/>
    <col min="9481" max="9481" width="3.6640625" style="295" customWidth="1"/>
    <col min="9482" max="9482" width="10.6640625" style="295" customWidth="1"/>
    <col min="9483" max="9485" width="3.6640625" style="295" customWidth="1"/>
    <col min="9486" max="9486" width="10.6640625" style="295" customWidth="1"/>
    <col min="9487" max="9487" width="3.6640625" style="295" customWidth="1"/>
    <col min="9488" max="9488" width="10.6640625" style="295" customWidth="1"/>
    <col min="9489" max="9489" width="3.6640625" style="295" customWidth="1"/>
    <col min="9490" max="9490" width="10.6640625" style="295" customWidth="1"/>
    <col min="9491" max="9491" width="3.6640625" style="295" customWidth="1"/>
    <col min="9492" max="9492" width="10.6640625" style="295" customWidth="1"/>
    <col min="9493" max="9493" width="3.6640625" style="295" customWidth="1"/>
    <col min="9494" max="9494" width="10.6640625" style="295" customWidth="1"/>
    <col min="9495" max="9495" width="3.6640625" style="295" customWidth="1"/>
    <col min="9496" max="9496" width="10.6640625" style="295" customWidth="1"/>
    <col min="9497" max="9497" width="3.6640625" style="295" customWidth="1"/>
    <col min="9498" max="9498" width="4.6640625" style="295" customWidth="1"/>
    <col min="9499" max="9499" width="7.6640625" style="295" customWidth="1"/>
    <col min="9500" max="9500" width="1.6640625" style="295" customWidth="1"/>
    <col min="9501" max="9501" width="7.6640625" style="295" customWidth="1"/>
    <col min="9502" max="9502" width="1.6640625" style="295" customWidth="1"/>
    <col min="9503" max="9503" width="7.6640625" style="295" customWidth="1"/>
    <col min="9504" max="9504" width="1.6640625" style="295" customWidth="1"/>
    <col min="9505" max="9505" width="7.6640625" style="295" customWidth="1"/>
    <col min="9506" max="9506" width="1.6640625" style="295" customWidth="1"/>
    <col min="9507" max="9507" width="4.6640625" style="295" customWidth="1"/>
    <col min="9508" max="9508" width="1.6640625" style="295" customWidth="1"/>
    <col min="9509" max="9509" width="4.6640625" style="295" customWidth="1"/>
    <col min="9510" max="9510" width="1.6640625" style="295" customWidth="1"/>
    <col min="9511" max="9511" width="7.6640625" style="295" customWidth="1"/>
    <col min="9512" max="9512" width="1.6640625" style="295" customWidth="1"/>
    <col min="9513" max="9513" width="7.6640625" style="295" customWidth="1"/>
    <col min="9514" max="9515" width="1.6640625" style="295" customWidth="1"/>
    <col min="9516" max="9516" width="5.6640625" style="295" customWidth="1"/>
    <col min="9517" max="9517" width="9.6640625" style="295" customWidth="1"/>
    <col min="9518" max="9518" width="1.6640625" style="295" customWidth="1"/>
    <col min="9519" max="9519" width="9.6640625" style="295" customWidth="1"/>
    <col min="9520" max="9520" width="1.6640625" style="295" customWidth="1"/>
    <col min="9521" max="9521" width="9.6640625" style="295" customWidth="1"/>
    <col min="9522" max="9522" width="1.6640625" style="295" customWidth="1"/>
    <col min="9523" max="9523" width="9.6640625" style="295" customWidth="1"/>
    <col min="9524" max="9524" width="1.6640625" style="295" customWidth="1"/>
    <col min="9525" max="9525" width="8.6640625" style="295" customWidth="1"/>
    <col min="9526" max="9526" width="1.6640625" style="295" customWidth="1"/>
    <col min="9527" max="9527" width="8.6640625" style="295" customWidth="1"/>
    <col min="9528" max="9529" width="1.6640625" style="295" customWidth="1"/>
    <col min="9530" max="9530" width="3.6640625" style="295" customWidth="1"/>
    <col min="9531" max="9531" width="10.6640625" style="295" customWidth="1"/>
    <col min="9532" max="9532" width="1.6640625" style="295" customWidth="1"/>
    <col min="9533" max="9533" width="10.6640625" style="295" customWidth="1"/>
    <col min="9534" max="9534" width="1.6640625" style="295" customWidth="1"/>
    <col min="9535" max="9535" width="10.6640625" style="295" customWidth="1"/>
    <col min="9536" max="9536" width="1.6640625" style="295" customWidth="1"/>
    <col min="9537" max="9537" width="4.6640625" style="295" customWidth="1"/>
    <col min="9538" max="9550" width="9.109375" style="295"/>
    <col min="9551" max="9551" width="18.44140625" style="295" bestFit="1" customWidth="1"/>
    <col min="9552" max="9552" width="9.109375" style="295"/>
    <col min="9553" max="9553" width="2.6640625" style="295" customWidth="1"/>
    <col min="9554" max="9554" width="12.6640625" style="295" customWidth="1"/>
    <col min="9555" max="9726" width="9.109375" style="295"/>
    <col min="9727" max="9727" width="17.88671875" style="295" customWidth="1"/>
    <col min="9728" max="9728" width="9.44140625" style="295" bestFit="1" customWidth="1"/>
    <col min="9729" max="9729" width="3.6640625" style="295" customWidth="1"/>
    <col min="9730" max="9730" width="10.6640625" style="295" customWidth="1"/>
    <col min="9731" max="9731" width="3.6640625" style="295" customWidth="1"/>
    <col min="9732" max="9732" width="10.6640625" style="295" customWidth="1"/>
    <col min="9733" max="9733" width="3.6640625" style="295" customWidth="1"/>
    <col min="9734" max="9734" width="10.6640625" style="295" customWidth="1"/>
    <col min="9735" max="9735" width="3.6640625" style="295" customWidth="1"/>
    <col min="9736" max="9736" width="6.88671875" style="295" customWidth="1"/>
    <col min="9737" max="9737" width="3.6640625" style="295" customWidth="1"/>
    <col min="9738" max="9738" width="10.6640625" style="295" customWidth="1"/>
    <col min="9739" max="9741" width="3.6640625" style="295" customWidth="1"/>
    <col min="9742" max="9742" width="10.6640625" style="295" customWidth="1"/>
    <col min="9743" max="9743" width="3.6640625" style="295" customWidth="1"/>
    <col min="9744" max="9744" width="10.6640625" style="295" customWidth="1"/>
    <col min="9745" max="9745" width="3.6640625" style="295" customWidth="1"/>
    <col min="9746" max="9746" width="10.6640625" style="295" customWidth="1"/>
    <col min="9747" max="9747" width="3.6640625" style="295" customWidth="1"/>
    <col min="9748" max="9748" width="10.6640625" style="295" customWidth="1"/>
    <col min="9749" max="9749" width="3.6640625" style="295" customWidth="1"/>
    <col min="9750" max="9750" width="10.6640625" style="295" customWidth="1"/>
    <col min="9751" max="9751" width="3.6640625" style="295" customWidth="1"/>
    <col min="9752" max="9752" width="10.6640625" style="295" customWidth="1"/>
    <col min="9753" max="9753" width="3.6640625" style="295" customWidth="1"/>
    <col min="9754" max="9754" width="4.6640625" style="295" customWidth="1"/>
    <col min="9755" max="9755" width="7.6640625" style="295" customWidth="1"/>
    <col min="9756" max="9756" width="1.6640625" style="295" customWidth="1"/>
    <col min="9757" max="9757" width="7.6640625" style="295" customWidth="1"/>
    <col min="9758" max="9758" width="1.6640625" style="295" customWidth="1"/>
    <col min="9759" max="9759" width="7.6640625" style="295" customWidth="1"/>
    <col min="9760" max="9760" width="1.6640625" style="295" customWidth="1"/>
    <col min="9761" max="9761" width="7.6640625" style="295" customWidth="1"/>
    <col min="9762" max="9762" width="1.6640625" style="295" customWidth="1"/>
    <col min="9763" max="9763" width="4.6640625" style="295" customWidth="1"/>
    <col min="9764" max="9764" width="1.6640625" style="295" customWidth="1"/>
    <col min="9765" max="9765" width="4.6640625" style="295" customWidth="1"/>
    <col min="9766" max="9766" width="1.6640625" style="295" customWidth="1"/>
    <col min="9767" max="9767" width="7.6640625" style="295" customWidth="1"/>
    <col min="9768" max="9768" width="1.6640625" style="295" customWidth="1"/>
    <col min="9769" max="9769" width="7.6640625" style="295" customWidth="1"/>
    <col min="9770" max="9771" width="1.6640625" style="295" customWidth="1"/>
    <col min="9772" max="9772" width="5.6640625" style="295" customWidth="1"/>
    <col min="9773" max="9773" width="9.6640625" style="295" customWidth="1"/>
    <col min="9774" max="9774" width="1.6640625" style="295" customWidth="1"/>
    <col min="9775" max="9775" width="9.6640625" style="295" customWidth="1"/>
    <col min="9776" max="9776" width="1.6640625" style="295" customWidth="1"/>
    <col min="9777" max="9777" width="9.6640625" style="295" customWidth="1"/>
    <col min="9778" max="9778" width="1.6640625" style="295" customWidth="1"/>
    <col min="9779" max="9779" width="9.6640625" style="295" customWidth="1"/>
    <col min="9780" max="9780" width="1.6640625" style="295" customWidth="1"/>
    <col min="9781" max="9781" width="8.6640625" style="295" customWidth="1"/>
    <col min="9782" max="9782" width="1.6640625" style="295" customWidth="1"/>
    <col min="9783" max="9783" width="8.6640625" style="295" customWidth="1"/>
    <col min="9784" max="9785" width="1.6640625" style="295" customWidth="1"/>
    <col min="9786" max="9786" width="3.6640625" style="295" customWidth="1"/>
    <col min="9787" max="9787" width="10.6640625" style="295" customWidth="1"/>
    <col min="9788" max="9788" width="1.6640625" style="295" customWidth="1"/>
    <col min="9789" max="9789" width="10.6640625" style="295" customWidth="1"/>
    <col min="9790" max="9790" width="1.6640625" style="295" customWidth="1"/>
    <col min="9791" max="9791" width="10.6640625" style="295" customWidth="1"/>
    <col min="9792" max="9792" width="1.6640625" style="295" customWidth="1"/>
    <col min="9793" max="9793" width="4.6640625" style="295" customWidth="1"/>
    <col min="9794" max="9806" width="9.109375" style="295"/>
    <col min="9807" max="9807" width="18.44140625" style="295" bestFit="1" customWidth="1"/>
    <col min="9808" max="9808" width="9.109375" style="295"/>
    <col min="9809" max="9809" width="2.6640625" style="295" customWidth="1"/>
    <col min="9810" max="9810" width="12.6640625" style="295" customWidth="1"/>
    <col min="9811" max="9982" width="9.109375" style="295"/>
    <col min="9983" max="9983" width="17.88671875" style="295" customWidth="1"/>
    <col min="9984" max="9984" width="9.44140625" style="295" bestFit="1" customWidth="1"/>
    <col min="9985" max="9985" width="3.6640625" style="295" customWidth="1"/>
    <col min="9986" max="9986" width="10.6640625" style="295" customWidth="1"/>
    <col min="9987" max="9987" width="3.6640625" style="295" customWidth="1"/>
    <col min="9988" max="9988" width="10.6640625" style="295" customWidth="1"/>
    <col min="9989" max="9989" width="3.6640625" style="295" customWidth="1"/>
    <col min="9990" max="9990" width="10.6640625" style="295" customWidth="1"/>
    <col min="9991" max="9991" width="3.6640625" style="295" customWidth="1"/>
    <col min="9992" max="9992" width="6.88671875" style="295" customWidth="1"/>
    <col min="9993" max="9993" width="3.6640625" style="295" customWidth="1"/>
    <col min="9994" max="9994" width="10.6640625" style="295" customWidth="1"/>
    <col min="9995" max="9997" width="3.6640625" style="295" customWidth="1"/>
    <col min="9998" max="9998" width="10.6640625" style="295" customWidth="1"/>
    <col min="9999" max="9999" width="3.6640625" style="295" customWidth="1"/>
    <col min="10000" max="10000" width="10.6640625" style="295" customWidth="1"/>
    <col min="10001" max="10001" width="3.6640625" style="295" customWidth="1"/>
    <col min="10002" max="10002" width="10.6640625" style="295" customWidth="1"/>
    <col min="10003" max="10003" width="3.6640625" style="295" customWidth="1"/>
    <col min="10004" max="10004" width="10.6640625" style="295" customWidth="1"/>
    <col min="10005" max="10005" width="3.6640625" style="295" customWidth="1"/>
    <col min="10006" max="10006" width="10.6640625" style="295" customWidth="1"/>
    <col min="10007" max="10007" width="3.6640625" style="295" customWidth="1"/>
    <col min="10008" max="10008" width="10.6640625" style="295" customWidth="1"/>
    <col min="10009" max="10009" width="3.6640625" style="295" customWidth="1"/>
    <col min="10010" max="10010" width="4.6640625" style="295" customWidth="1"/>
    <col min="10011" max="10011" width="7.6640625" style="295" customWidth="1"/>
    <col min="10012" max="10012" width="1.6640625" style="295" customWidth="1"/>
    <col min="10013" max="10013" width="7.6640625" style="295" customWidth="1"/>
    <col min="10014" max="10014" width="1.6640625" style="295" customWidth="1"/>
    <col min="10015" max="10015" width="7.6640625" style="295" customWidth="1"/>
    <col min="10016" max="10016" width="1.6640625" style="295" customWidth="1"/>
    <col min="10017" max="10017" width="7.6640625" style="295" customWidth="1"/>
    <col min="10018" max="10018" width="1.6640625" style="295" customWidth="1"/>
    <col min="10019" max="10019" width="4.6640625" style="295" customWidth="1"/>
    <col min="10020" max="10020" width="1.6640625" style="295" customWidth="1"/>
    <col min="10021" max="10021" width="4.6640625" style="295" customWidth="1"/>
    <col min="10022" max="10022" width="1.6640625" style="295" customWidth="1"/>
    <col min="10023" max="10023" width="7.6640625" style="295" customWidth="1"/>
    <col min="10024" max="10024" width="1.6640625" style="295" customWidth="1"/>
    <col min="10025" max="10025" width="7.6640625" style="295" customWidth="1"/>
    <col min="10026" max="10027" width="1.6640625" style="295" customWidth="1"/>
    <col min="10028" max="10028" width="5.6640625" style="295" customWidth="1"/>
    <col min="10029" max="10029" width="9.6640625" style="295" customWidth="1"/>
    <col min="10030" max="10030" width="1.6640625" style="295" customWidth="1"/>
    <col min="10031" max="10031" width="9.6640625" style="295" customWidth="1"/>
    <col min="10032" max="10032" width="1.6640625" style="295" customWidth="1"/>
    <col min="10033" max="10033" width="9.6640625" style="295" customWidth="1"/>
    <col min="10034" max="10034" width="1.6640625" style="295" customWidth="1"/>
    <col min="10035" max="10035" width="9.6640625" style="295" customWidth="1"/>
    <col min="10036" max="10036" width="1.6640625" style="295" customWidth="1"/>
    <col min="10037" max="10037" width="8.6640625" style="295" customWidth="1"/>
    <col min="10038" max="10038" width="1.6640625" style="295" customWidth="1"/>
    <col min="10039" max="10039" width="8.6640625" style="295" customWidth="1"/>
    <col min="10040" max="10041" width="1.6640625" style="295" customWidth="1"/>
    <col min="10042" max="10042" width="3.6640625" style="295" customWidth="1"/>
    <col min="10043" max="10043" width="10.6640625" style="295" customWidth="1"/>
    <col min="10044" max="10044" width="1.6640625" style="295" customWidth="1"/>
    <col min="10045" max="10045" width="10.6640625" style="295" customWidth="1"/>
    <col min="10046" max="10046" width="1.6640625" style="295" customWidth="1"/>
    <col min="10047" max="10047" width="10.6640625" style="295" customWidth="1"/>
    <col min="10048" max="10048" width="1.6640625" style="295" customWidth="1"/>
    <col min="10049" max="10049" width="4.6640625" style="295" customWidth="1"/>
    <col min="10050" max="10062" width="9.109375" style="295"/>
    <col min="10063" max="10063" width="18.44140625" style="295" bestFit="1" customWidth="1"/>
    <col min="10064" max="10064" width="9.109375" style="295"/>
    <col min="10065" max="10065" width="2.6640625" style="295" customWidth="1"/>
    <col min="10066" max="10066" width="12.6640625" style="295" customWidth="1"/>
    <col min="10067" max="10238" width="9.109375" style="295"/>
    <col min="10239" max="10239" width="17.88671875" style="295" customWidth="1"/>
    <col min="10240" max="10240" width="9.44140625" style="295" bestFit="1" customWidth="1"/>
    <col min="10241" max="10241" width="3.6640625" style="295" customWidth="1"/>
    <col min="10242" max="10242" width="10.6640625" style="295" customWidth="1"/>
    <col min="10243" max="10243" width="3.6640625" style="295" customWidth="1"/>
    <col min="10244" max="10244" width="10.6640625" style="295" customWidth="1"/>
    <col min="10245" max="10245" width="3.6640625" style="295" customWidth="1"/>
    <col min="10246" max="10246" width="10.6640625" style="295" customWidth="1"/>
    <col min="10247" max="10247" width="3.6640625" style="295" customWidth="1"/>
    <col min="10248" max="10248" width="6.88671875" style="295" customWidth="1"/>
    <col min="10249" max="10249" width="3.6640625" style="295" customWidth="1"/>
    <col min="10250" max="10250" width="10.6640625" style="295" customWidth="1"/>
    <col min="10251" max="10253" width="3.6640625" style="295" customWidth="1"/>
    <col min="10254" max="10254" width="10.6640625" style="295" customWidth="1"/>
    <col min="10255" max="10255" width="3.6640625" style="295" customWidth="1"/>
    <col min="10256" max="10256" width="10.6640625" style="295" customWidth="1"/>
    <col min="10257" max="10257" width="3.6640625" style="295" customWidth="1"/>
    <col min="10258" max="10258" width="10.6640625" style="295" customWidth="1"/>
    <col min="10259" max="10259" width="3.6640625" style="295" customWidth="1"/>
    <col min="10260" max="10260" width="10.6640625" style="295" customWidth="1"/>
    <col min="10261" max="10261" width="3.6640625" style="295" customWidth="1"/>
    <col min="10262" max="10262" width="10.6640625" style="295" customWidth="1"/>
    <col min="10263" max="10263" width="3.6640625" style="295" customWidth="1"/>
    <col min="10264" max="10264" width="10.6640625" style="295" customWidth="1"/>
    <col min="10265" max="10265" width="3.6640625" style="295" customWidth="1"/>
    <col min="10266" max="10266" width="4.6640625" style="295" customWidth="1"/>
    <col min="10267" max="10267" width="7.6640625" style="295" customWidth="1"/>
    <col min="10268" max="10268" width="1.6640625" style="295" customWidth="1"/>
    <col min="10269" max="10269" width="7.6640625" style="295" customWidth="1"/>
    <col min="10270" max="10270" width="1.6640625" style="295" customWidth="1"/>
    <col min="10271" max="10271" width="7.6640625" style="295" customWidth="1"/>
    <col min="10272" max="10272" width="1.6640625" style="295" customWidth="1"/>
    <col min="10273" max="10273" width="7.6640625" style="295" customWidth="1"/>
    <col min="10274" max="10274" width="1.6640625" style="295" customWidth="1"/>
    <col min="10275" max="10275" width="4.6640625" style="295" customWidth="1"/>
    <col min="10276" max="10276" width="1.6640625" style="295" customWidth="1"/>
    <col min="10277" max="10277" width="4.6640625" style="295" customWidth="1"/>
    <col min="10278" max="10278" width="1.6640625" style="295" customWidth="1"/>
    <col min="10279" max="10279" width="7.6640625" style="295" customWidth="1"/>
    <col min="10280" max="10280" width="1.6640625" style="295" customWidth="1"/>
    <col min="10281" max="10281" width="7.6640625" style="295" customWidth="1"/>
    <col min="10282" max="10283" width="1.6640625" style="295" customWidth="1"/>
    <col min="10284" max="10284" width="5.6640625" style="295" customWidth="1"/>
    <col min="10285" max="10285" width="9.6640625" style="295" customWidth="1"/>
    <col min="10286" max="10286" width="1.6640625" style="295" customWidth="1"/>
    <col min="10287" max="10287" width="9.6640625" style="295" customWidth="1"/>
    <col min="10288" max="10288" width="1.6640625" style="295" customWidth="1"/>
    <col min="10289" max="10289" width="9.6640625" style="295" customWidth="1"/>
    <col min="10290" max="10290" width="1.6640625" style="295" customWidth="1"/>
    <col min="10291" max="10291" width="9.6640625" style="295" customWidth="1"/>
    <col min="10292" max="10292" width="1.6640625" style="295" customWidth="1"/>
    <col min="10293" max="10293" width="8.6640625" style="295" customWidth="1"/>
    <col min="10294" max="10294" width="1.6640625" style="295" customWidth="1"/>
    <col min="10295" max="10295" width="8.6640625" style="295" customWidth="1"/>
    <col min="10296" max="10297" width="1.6640625" style="295" customWidth="1"/>
    <col min="10298" max="10298" width="3.6640625" style="295" customWidth="1"/>
    <col min="10299" max="10299" width="10.6640625" style="295" customWidth="1"/>
    <col min="10300" max="10300" width="1.6640625" style="295" customWidth="1"/>
    <col min="10301" max="10301" width="10.6640625" style="295" customWidth="1"/>
    <col min="10302" max="10302" width="1.6640625" style="295" customWidth="1"/>
    <col min="10303" max="10303" width="10.6640625" style="295" customWidth="1"/>
    <col min="10304" max="10304" width="1.6640625" style="295" customWidth="1"/>
    <col min="10305" max="10305" width="4.6640625" style="295" customWidth="1"/>
    <col min="10306" max="10318" width="9.109375" style="295"/>
    <col min="10319" max="10319" width="18.44140625" style="295" bestFit="1" customWidth="1"/>
    <col min="10320" max="10320" width="9.109375" style="295"/>
    <col min="10321" max="10321" width="2.6640625" style="295" customWidth="1"/>
    <col min="10322" max="10322" width="12.6640625" style="295" customWidth="1"/>
    <col min="10323" max="10494" width="9.109375" style="295"/>
    <col min="10495" max="10495" width="17.88671875" style="295" customWidth="1"/>
    <col min="10496" max="10496" width="9.44140625" style="295" bestFit="1" customWidth="1"/>
    <col min="10497" max="10497" width="3.6640625" style="295" customWidth="1"/>
    <col min="10498" max="10498" width="10.6640625" style="295" customWidth="1"/>
    <col min="10499" max="10499" width="3.6640625" style="295" customWidth="1"/>
    <col min="10500" max="10500" width="10.6640625" style="295" customWidth="1"/>
    <col min="10501" max="10501" width="3.6640625" style="295" customWidth="1"/>
    <col min="10502" max="10502" width="10.6640625" style="295" customWidth="1"/>
    <col min="10503" max="10503" width="3.6640625" style="295" customWidth="1"/>
    <col min="10504" max="10504" width="6.88671875" style="295" customWidth="1"/>
    <col min="10505" max="10505" width="3.6640625" style="295" customWidth="1"/>
    <col min="10506" max="10506" width="10.6640625" style="295" customWidth="1"/>
    <col min="10507" max="10509" width="3.6640625" style="295" customWidth="1"/>
    <col min="10510" max="10510" width="10.6640625" style="295" customWidth="1"/>
    <col min="10511" max="10511" width="3.6640625" style="295" customWidth="1"/>
    <col min="10512" max="10512" width="10.6640625" style="295" customWidth="1"/>
    <col min="10513" max="10513" width="3.6640625" style="295" customWidth="1"/>
    <col min="10514" max="10514" width="10.6640625" style="295" customWidth="1"/>
    <col min="10515" max="10515" width="3.6640625" style="295" customWidth="1"/>
    <col min="10516" max="10516" width="10.6640625" style="295" customWidth="1"/>
    <col min="10517" max="10517" width="3.6640625" style="295" customWidth="1"/>
    <col min="10518" max="10518" width="10.6640625" style="295" customWidth="1"/>
    <col min="10519" max="10519" width="3.6640625" style="295" customWidth="1"/>
    <col min="10520" max="10520" width="10.6640625" style="295" customWidth="1"/>
    <col min="10521" max="10521" width="3.6640625" style="295" customWidth="1"/>
    <col min="10522" max="10522" width="4.6640625" style="295" customWidth="1"/>
    <col min="10523" max="10523" width="7.6640625" style="295" customWidth="1"/>
    <col min="10524" max="10524" width="1.6640625" style="295" customWidth="1"/>
    <col min="10525" max="10525" width="7.6640625" style="295" customWidth="1"/>
    <col min="10526" max="10526" width="1.6640625" style="295" customWidth="1"/>
    <col min="10527" max="10527" width="7.6640625" style="295" customWidth="1"/>
    <col min="10528" max="10528" width="1.6640625" style="295" customWidth="1"/>
    <col min="10529" max="10529" width="7.6640625" style="295" customWidth="1"/>
    <col min="10530" max="10530" width="1.6640625" style="295" customWidth="1"/>
    <col min="10531" max="10531" width="4.6640625" style="295" customWidth="1"/>
    <col min="10532" max="10532" width="1.6640625" style="295" customWidth="1"/>
    <col min="10533" max="10533" width="4.6640625" style="295" customWidth="1"/>
    <col min="10534" max="10534" width="1.6640625" style="295" customWidth="1"/>
    <col min="10535" max="10535" width="7.6640625" style="295" customWidth="1"/>
    <col min="10536" max="10536" width="1.6640625" style="295" customWidth="1"/>
    <col min="10537" max="10537" width="7.6640625" style="295" customWidth="1"/>
    <col min="10538" max="10539" width="1.6640625" style="295" customWidth="1"/>
    <col min="10540" max="10540" width="5.6640625" style="295" customWidth="1"/>
    <col min="10541" max="10541" width="9.6640625" style="295" customWidth="1"/>
    <col min="10542" max="10542" width="1.6640625" style="295" customWidth="1"/>
    <col min="10543" max="10543" width="9.6640625" style="295" customWidth="1"/>
    <col min="10544" max="10544" width="1.6640625" style="295" customWidth="1"/>
    <col min="10545" max="10545" width="9.6640625" style="295" customWidth="1"/>
    <col min="10546" max="10546" width="1.6640625" style="295" customWidth="1"/>
    <col min="10547" max="10547" width="9.6640625" style="295" customWidth="1"/>
    <col min="10548" max="10548" width="1.6640625" style="295" customWidth="1"/>
    <col min="10549" max="10549" width="8.6640625" style="295" customWidth="1"/>
    <col min="10550" max="10550" width="1.6640625" style="295" customWidth="1"/>
    <col min="10551" max="10551" width="8.6640625" style="295" customWidth="1"/>
    <col min="10552" max="10553" width="1.6640625" style="295" customWidth="1"/>
    <col min="10554" max="10554" width="3.6640625" style="295" customWidth="1"/>
    <col min="10555" max="10555" width="10.6640625" style="295" customWidth="1"/>
    <col min="10556" max="10556" width="1.6640625" style="295" customWidth="1"/>
    <col min="10557" max="10557" width="10.6640625" style="295" customWidth="1"/>
    <col min="10558" max="10558" width="1.6640625" style="295" customWidth="1"/>
    <col min="10559" max="10559" width="10.6640625" style="295" customWidth="1"/>
    <col min="10560" max="10560" width="1.6640625" style="295" customWidth="1"/>
    <col min="10561" max="10561" width="4.6640625" style="295" customWidth="1"/>
    <col min="10562" max="10574" width="9.109375" style="295"/>
    <col min="10575" max="10575" width="18.44140625" style="295" bestFit="1" customWidth="1"/>
    <col min="10576" max="10576" width="9.109375" style="295"/>
    <col min="10577" max="10577" width="2.6640625" style="295" customWidth="1"/>
    <col min="10578" max="10578" width="12.6640625" style="295" customWidth="1"/>
    <col min="10579" max="10750" width="9.109375" style="295"/>
    <col min="10751" max="10751" width="17.88671875" style="295" customWidth="1"/>
    <col min="10752" max="10752" width="9.44140625" style="295" bestFit="1" customWidth="1"/>
    <col min="10753" max="10753" width="3.6640625" style="295" customWidth="1"/>
    <col min="10754" max="10754" width="10.6640625" style="295" customWidth="1"/>
    <col min="10755" max="10755" width="3.6640625" style="295" customWidth="1"/>
    <col min="10756" max="10756" width="10.6640625" style="295" customWidth="1"/>
    <col min="10757" max="10757" width="3.6640625" style="295" customWidth="1"/>
    <col min="10758" max="10758" width="10.6640625" style="295" customWidth="1"/>
    <col min="10759" max="10759" width="3.6640625" style="295" customWidth="1"/>
    <col min="10760" max="10760" width="6.88671875" style="295" customWidth="1"/>
    <col min="10761" max="10761" width="3.6640625" style="295" customWidth="1"/>
    <col min="10762" max="10762" width="10.6640625" style="295" customWidth="1"/>
    <col min="10763" max="10765" width="3.6640625" style="295" customWidth="1"/>
    <col min="10766" max="10766" width="10.6640625" style="295" customWidth="1"/>
    <col min="10767" max="10767" width="3.6640625" style="295" customWidth="1"/>
    <col min="10768" max="10768" width="10.6640625" style="295" customWidth="1"/>
    <col min="10769" max="10769" width="3.6640625" style="295" customWidth="1"/>
    <col min="10770" max="10770" width="10.6640625" style="295" customWidth="1"/>
    <col min="10771" max="10771" width="3.6640625" style="295" customWidth="1"/>
    <col min="10772" max="10772" width="10.6640625" style="295" customWidth="1"/>
    <col min="10773" max="10773" width="3.6640625" style="295" customWidth="1"/>
    <col min="10774" max="10774" width="10.6640625" style="295" customWidth="1"/>
    <col min="10775" max="10775" width="3.6640625" style="295" customWidth="1"/>
    <col min="10776" max="10776" width="10.6640625" style="295" customWidth="1"/>
    <col min="10777" max="10777" width="3.6640625" style="295" customWidth="1"/>
    <col min="10778" max="10778" width="4.6640625" style="295" customWidth="1"/>
    <col min="10779" max="10779" width="7.6640625" style="295" customWidth="1"/>
    <col min="10780" max="10780" width="1.6640625" style="295" customWidth="1"/>
    <col min="10781" max="10781" width="7.6640625" style="295" customWidth="1"/>
    <col min="10782" max="10782" width="1.6640625" style="295" customWidth="1"/>
    <col min="10783" max="10783" width="7.6640625" style="295" customWidth="1"/>
    <col min="10784" max="10784" width="1.6640625" style="295" customWidth="1"/>
    <col min="10785" max="10785" width="7.6640625" style="295" customWidth="1"/>
    <col min="10786" max="10786" width="1.6640625" style="295" customWidth="1"/>
    <col min="10787" max="10787" width="4.6640625" style="295" customWidth="1"/>
    <col min="10788" max="10788" width="1.6640625" style="295" customWidth="1"/>
    <col min="10789" max="10789" width="4.6640625" style="295" customWidth="1"/>
    <col min="10790" max="10790" width="1.6640625" style="295" customWidth="1"/>
    <col min="10791" max="10791" width="7.6640625" style="295" customWidth="1"/>
    <col min="10792" max="10792" width="1.6640625" style="295" customWidth="1"/>
    <col min="10793" max="10793" width="7.6640625" style="295" customWidth="1"/>
    <col min="10794" max="10795" width="1.6640625" style="295" customWidth="1"/>
    <col min="10796" max="10796" width="5.6640625" style="295" customWidth="1"/>
    <col min="10797" max="10797" width="9.6640625" style="295" customWidth="1"/>
    <col min="10798" max="10798" width="1.6640625" style="295" customWidth="1"/>
    <col min="10799" max="10799" width="9.6640625" style="295" customWidth="1"/>
    <col min="10800" max="10800" width="1.6640625" style="295" customWidth="1"/>
    <col min="10801" max="10801" width="9.6640625" style="295" customWidth="1"/>
    <col min="10802" max="10802" width="1.6640625" style="295" customWidth="1"/>
    <col min="10803" max="10803" width="9.6640625" style="295" customWidth="1"/>
    <col min="10804" max="10804" width="1.6640625" style="295" customWidth="1"/>
    <col min="10805" max="10805" width="8.6640625" style="295" customWidth="1"/>
    <col min="10806" max="10806" width="1.6640625" style="295" customWidth="1"/>
    <col min="10807" max="10807" width="8.6640625" style="295" customWidth="1"/>
    <col min="10808" max="10809" width="1.6640625" style="295" customWidth="1"/>
    <col min="10810" max="10810" width="3.6640625" style="295" customWidth="1"/>
    <col min="10811" max="10811" width="10.6640625" style="295" customWidth="1"/>
    <col min="10812" max="10812" width="1.6640625" style="295" customWidth="1"/>
    <col min="10813" max="10813" width="10.6640625" style="295" customWidth="1"/>
    <col min="10814" max="10814" width="1.6640625" style="295" customWidth="1"/>
    <col min="10815" max="10815" width="10.6640625" style="295" customWidth="1"/>
    <col min="10816" max="10816" width="1.6640625" style="295" customWidth="1"/>
    <col min="10817" max="10817" width="4.6640625" style="295" customWidth="1"/>
    <col min="10818" max="10830" width="9.109375" style="295"/>
    <col min="10831" max="10831" width="18.44140625" style="295" bestFit="1" customWidth="1"/>
    <col min="10832" max="10832" width="9.109375" style="295"/>
    <col min="10833" max="10833" width="2.6640625" style="295" customWidth="1"/>
    <col min="10834" max="10834" width="12.6640625" style="295" customWidth="1"/>
    <col min="10835" max="11006" width="9.109375" style="295"/>
    <col min="11007" max="11007" width="17.88671875" style="295" customWidth="1"/>
    <col min="11008" max="11008" width="9.44140625" style="295" bestFit="1" customWidth="1"/>
    <col min="11009" max="11009" width="3.6640625" style="295" customWidth="1"/>
    <col min="11010" max="11010" width="10.6640625" style="295" customWidth="1"/>
    <col min="11011" max="11011" width="3.6640625" style="295" customWidth="1"/>
    <col min="11012" max="11012" width="10.6640625" style="295" customWidth="1"/>
    <col min="11013" max="11013" width="3.6640625" style="295" customWidth="1"/>
    <col min="11014" max="11014" width="10.6640625" style="295" customWidth="1"/>
    <col min="11015" max="11015" width="3.6640625" style="295" customWidth="1"/>
    <col min="11016" max="11016" width="6.88671875" style="295" customWidth="1"/>
    <col min="11017" max="11017" width="3.6640625" style="295" customWidth="1"/>
    <col min="11018" max="11018" width="10.6640625" style="295" customWidth="1"/>
    <col min="11019" max="11021" width="3.6640625" style="295" customWidth="1"/>
    <col min="11022" max="11022" width="10.6640625" style="295" customWidth="1"/>
    <col min="11023" max="11023" width="3.6640625" style="295" customWidth="1"/>
    <col min="11024" max="11024" width="10.6640625" style="295" customWidth="1"/>
    <col min="11025" max="11025" width="3.6640625" style="295" customWidth="1"/>
    <col min="11026" max="11026" width="10.6640625" style="295" customWidth="1"/>
    <col min="11027" max="11027" width="3.6640625" style="295" customWidth="1"/>
    <col min="11028" max="11028" width="10.6640625" style="295" customWidth="1"/>
    <col min="11029" max="11029" width="3.6640625" style="295" customWidth="1"/>
    <col min="11030" max="11030" width="10.6640625" style="295" customWidth="1"/>
    <col min="11031" max="11031" width="3.6640625" style="295" customWidth="1"/>
    <col min="11032" max="11032" width="10.6640625" style="295" customWidth="1"/>
    <col min="11033" max="11033" width="3.6640625" style="295" customWidth="1"/>
    <col min="11034" max="11034" width="4.6640625" style="295" customWidth="1"/>
    <col min="11035" max="11035" width="7.6640625" style="295" customWidth="1"/>
    <col min="11036" max="11036" width="1.6640625" style="295" customWidth="1"/>
    <col min="11037" max="11037" width="7.6640625" style="295" customWidth="1"/>
    <col min="11038" max="11038" width="1.6640625" style="295" customWidth="1"/>
    <col min="11039" max="11039" width="7.6640625" style="295" customWidth="1"/>
    <col min="11040" max="11040" width="1.6640625" style="295" customWidth="1"/>
    <col min="11041" max="11041" width="7.6640625" style="295" customWidth="1"/>
    <col min="11042" max="11042" width="1.6640625" style="295" customWidth="1"/>
    <col min="11043" max="11043" width="4.6640625" style="295" customWidth="1"/>
    <col min="11044" max="11044" width="1.6640625" style="295" customWidth="1"/>
    <col min="11045" max="11045" width="4.6640625" style="295" customWidth="1"/>
    <col min="11046" max="11046" width="1.6640625" style="295" customWidth="1"/>
    <col min="11047" max="11047" width="7.6640625" style="295" customWidth="1"/>
    <col min="11048" max="11048" width="1.6640625" style="295" customWidth="1"/>
    <col min="11049" max="11049" width="7.6640625" style="295" customWidth="1"/>
    <col min="11050" max="11051" width="1.6640625" style="295" customWidth="1"/>
    <col min="11052" max="11052" width="5.6640625" style="295" customWidth="1"/>
    <col min="11053" max="11053" width="9.6640625" style="295" customWidth="1"/>
    <col min="11054" max="11054" width="1.6640625" style="295" customWidth="1"/>
    <col min="11055" max="11055" width="9.6640625" style="295" customWidth="1"/>
    <col min="11056" max="11056" width="1.6640625" style="295" customWidth="1"/>
    <col min="11057" max="11057" width="9.6640625" style="295" customWidth="1"/>
    <col min="11058" max="11058" width="1.6640625" style="295" customWidth="1"/>
    <col min="11059" max="11059" width="9.6640625" style="295" customWidth="1"/>
    <col min="11060" max="11060" width="1.6640625" style="295" customWidth="1"/>
    <col min="11061" max="11061" width="8.6640625" style="295" customWidth="1"/>
    <col min="11062" max="11062" width="1.6640625" style="295" customWidth="1"/>
    <col min="11063" max="11063" width="8.6640625" style="295" customWidth="1"/>
    <col min="11064" max="11065" width="1.6640625" style="295" customWidth="1"/>
    <col min="11066" max="11066" width="3.6640625" style="295" customWidth="1"/>
    <col min="11067" max="11067" width="10.6640625" style="295" customWidth="1"/>
    <col min="11068" max="11068" width="1.6640625" style="295" customWidth="1"/>
    <col min="11069" max="11069" width="10.6640625" style="295" customWidth="1"/>
    <col min="11070" max="11070" width="1.6640625" style="295" customWidth="1"/>
    <col min="11071" max="11071" width="10.6640625" style="295" customWidth="1"/>
    <col min="11072" max="11072" width="1.6640625" style="295" customWidth="1"/>
    <col min="11073" max="11073" width="4.6640625" style="295" customWidth="1"/>
    <col min="11074" max="11086" width="9.109375" style="295"/>
    <col min="11087" max="11087" width="18.44140625" style="295" bestFit="1" customWidth="1"/>
    <col min="11088" max="11088" width="9.109375" style="295"/>
    <col min="11089" max="11089" width="2.6640625" style="295" customWidth="1"/>
    <col min="11090" max="11090" width="12.6640625" style="295" customWidth="1"/>
    <col min="11091" max="11262" width="9.109375" style="295"/>
    <col min="11263" max="11263" width="17.88671875" style="295" customWidth="1"/>
    <col min="11264" max="11264" width="9.44140625" style="295" bestFit="1" customWidth="1"/>
    <col min="11265" max="11265" width="3.6640625" style="295" customWidth="1"/>
    <col min="11266" max="11266" width="10.6640625" style="295" customWidth="1"/>
    <col min="11267" max="11267" width="3.6640625" style="295" customWidth="1"/>
    <col min="11268" max="11268" width="10.6640625" style="295" customWidth="1"/>
    <col min="11269" max="11269" width="3.6640625" style="295" customWidth="1"/>
    <col min="11270" max="11270" width="10.6640625" style="295" customWidth="1"/>
    <col min="11271" max="11271" width="3.6640625" style="295" customWidth="1"/>
    <col min="11272" max="11272" width="6.88671875" style="295" customWidth="1"/>
    <col min="11273" max="11273" width="3.6640625" style="295" customWidth="1"/>
    <col min="11274" max="11274" width="10.6640625" style="295" customWidth="1"/>
    <col min="11275" max="11277" width="3.6640625" style="295" customWidth="1"/>
    <col min="11278" max="11278" width="10.6640625" style="295" customWidth="1"/>
    <col min="11279" max="11279" width="3.6640625" style="295" customWidth="1"/>
    <col min="11280" max="11280" width="10.6640625" style="295" customWidth="1"/>
    <col min="11281" max="11281" width="3.6640625" style="295" customWidth="1"/>
    <col min="11282" max="11282" width="10.6640625" style="295" customWidth="1"/>
    <col min="11283" max="11283" width="3.6640625" style="295" customWidth="1"/>
    <col min="11284" max="11284" width="10.6640625" style="295" customWidth="1"/>
    <col min="11285" max="11285" width="3.6640625" style="295" customWidth="1"/>
    <col min="11286" max="11286" width="10.6640625" style="295" customWidth="1"/>
    <col min="11287" max="11287" width="3.6640625" style="295" customWidth="1"/>
    <col min="11288" max="11288" width="10.6640625" style="295" customWidth="1"/>
    <col min="11289" max="11289" width="3.6640625" style="295" customWidth="1"/>
    <col min="11290" max="11290" width="4.6640625" style="295" customWidth="1"/>
    <col min="11291" max="11291" width="7.6640625" style="295" customWidth="1"/>
    <col min="11292" max="11292" width="1.6640625" style="295" customWidth="1"/>
    <col min="11293" max="11293" width="7.6640625" style="295" customWidth="1"/>
    <col min="11294" max="11294" width="1.6640625" style="295" customWidth="1"/>
    <col min="11295" max="11295" width="7.6640625" style="295" customWidth="1"/>
    <col min="11296" max="11296" width="1.6640625" style="295" customWidth="1"/>
    <col min="11297" max="11297" width="7.6640625" style="295" customWidth="1"/>
    <col min="11298" max="11298" width="1.6640625" style="295" customWidth="1"/>
    <col min="11299" max="11299" width="4.6640625" style="295" customWidth="1"/>
    <col min="11300" max="11300" width="1.6640625" style="295" customWidth="1"/>
    <col min="11301" max="11301" width="4.6640625" style="295" customWidth="1"/>
    <col min="11302" max="11302" width="1.6640625" style="295" customWidth="1"/>
    <col min="11303" max="11303" width="7.6640625" style="295" customWidth="1"/>
    <col min="11304" max="11304" width="1.6640625" style="295" customWidth="1"/>
    <col min="11305" max="11305" width="7.6640625" style="295" customWidth="1"/>
    <col min="11306" max="11307" width="1.6640625" style="295" customWidth="1"/>
    <col min="11308" max="11308" width="5.6640625" style="295" customWidth="1"/>
    <col min="11309" max="11309" width="9.6640625" style="295" customWidth="1"/>
    <col min="11310" max="11310" width="1.6640625" style="295" customWidth="1"/>
    <col min="11311" max="11311" width="9.6640625" style="295" customWidth="1"/>
    <col min="11312" max="11312" width="1.6640625" style="295" customWidth="1"/>
    <col min="11313" max="11313" width="9.6640625" style="295" customWidth="1"/>
    <col min="11314" max="11314" width="1.6640625" style="295" customWidth="1"/>
    <col min="11315" max="11315" width="9.6640625" style="295" customWidth="1"/>
    <col min="11316" max="11316" width="1.6640625" style="295" customWidth="1"/>
    <col min="11317" max="11317" width="8.6640625" style="295" customWidth="1"/>
    <col min="11318" max="11318" width="1.6640625" style="295" customWidth="1"/>
    <col min="11319" max="11319" width="8.6640625" style="295" customWidth="1"/>
    <col min="11320" max="11321" width="1.6640625" style="295" customWidth="1"/>
    <col min="11322" max="11322" width="3.6640625" style="295" customWidth="1"/>
    <col min="11323" max="11323" width="10.6640625" style="295" customWidth="1"/>
    <col min="11324" max="11324" width="1.6640625" style="295" customWidth="1"/>
    <col min="11325" max="11325" width="10.6640625" style="295" customWidth="1"/>
    <col min="11326" max="11326" width="1.6640625" style="295" customWidth="1"/>
    <col min="11327" max="11327" width="10.6640625" style="295" customWidth="1"/>
    <col min="11328" max="11328" width="1.6640625" style="295" customWidth="1"/>
    <col min="11329" max="11329" width="4.6640625" style="295" customWidth="1"/>
    <col min="11330" max="11342" width="9.109375" style="295"/>
    <col min="11343" max="11343" width="18.44140625" style="295" bestFit="1" customWidth="1"/>
    <col min="11344" max="11344" width="9.109375" style="295"/>
    <col min="11345" max="11345" width="2.6640625" style="295" customWidth="1"/>
    <col min="11346" max="11346" width="12.6640625" style="295" customWidth="1"/>
    <col min="11347" max="11518" width="9.109375" style="295"/>
    <col min="11519" max="11519" width="17.88671875" style="295" customWidth="1"/>
    <col min="11520" max="11520" width="9.44140625" style="295" bestFit="1" customWidth="1"/>
    <col min="11521" max="11521" width="3.6640625" style="295" customWidth="1"/>
    <col min="11522" max="11522" width="10.6640625" style="295" customWidth="1"/>
    <col min="11523" max="11523" width="3.6640625" style="295" customWidth="1"/>
    <col min="11524" max="11524" width="10.6640625" style="295" customWidth="1"/>
    <col min="11525" max="11525" width="3.6640625" style="295" customWidth="1"/>
    <col min="11526" max="11526" width="10.6640625" style="295" customWidth="1"/>
    <col min="11527" max="11527" width="3.6640625" style="295" customWidth="1"/>
    <col min="11528" max="11528" width="6.88671875" style="295" customWidth="1"/>
    <col min="11529" max="11529" width="3.6640625" style="295" customWidth="1"/>
    <col min="11530" max="11530" width="10.6640625" style="295" customWidth="1"/>
    <col min="11531" max="11533" width="3.6640625" style="295" customWidth="1"/>
    <col min="11534" max="11534" width="10.6640625" style="295" customWidth="1"/>
    <col min="11535" max="11535" width="3.6640625" style="295" customWidth="1"/>
    <col min="11536" max="11536" width="10.6640625" style="295" customWidth="1"/>
    <col min="11537" max="11537" width="3.6640625" style="295" customWidth="1"/>
    <col min="11538" max="11538" width="10.6640625" style="295" customWidth="1"/>
    <col min="11539" max="11539" width="3.6640625" style="295" customWidth="1"/>
    <col min="11540" max="11540" width="10.6640625" style="295" customWidth="1"/>
    <col min="11541" max="11541" width="3.6640625" style="295" customWidth="1"/>
    <col min="11542" max="11542" width="10.6640625" style="295" customWidth="1"/>
    <col min="11543" max="11543" width="3.6640625" style="295" customWidth="1"/>
    <col min="11544" max="11544" width="10.6640625" style="295" customWidth="1"/>
    <col min="11545" max="11545" width="3.6640625" style="295" customWidth="1"/>
    <col min="11546" max="11546" width="4.6640625" style="295" customWidth="1"/>
    <col min="11547" max="11547" width="7.6640625" style="295" customWidth="1"/>
    <col min="11548" max="11548" width="1.6640625" style="295" customWidth="1"/>
    <col min="11549" max="11549" width="7.6640625" style="295" customWidth="1"/>
    <col min="11550" max="11550" width="1.6640625" style="295" customWidth="1"/>
    <col min="11551" max="11551" width="7.6640625" style="295" customWidth="1"/>
    <col min="11552" max="11552" width="1.6640625" style="295" customWidth="1"/>
    <col min="11553" max="11553" width="7.6640625" style="295" customWidth="1"/>
    <col min="11554" max="11554" width="1.6640625" style="295" customWidth="1"/>
    <col min="11555" max="11555" width="4.6640625" style="295" customWidth="1"/>
    <col min="11556" max="11556" width="1.6640625" style="295" customWidth="1"/>
    <col min="11557" max="11557" width="4.6640625" style="295" customWidth="1"/>
    <col min="11558" max="11558" width="1.6640625" style="295" customWidth="1"/>
    <col min="11559" max="11559" width="7.6640625" style="295" customWidth="1"/>
    <col min="11560" max="11560" width="1.6640625" style="295" customWidth="1"/>
    <col min="11561" max="11561" width="7.6640625" style="295" customWidth="1"/>
    <col min="11562" max="11563" width="1.6640625" style="295" customWidth="1"/>
    <col min="11564" max="11564" width="5.6640625" style="295" customWidth="1"/>
    <col min="11565" max="11565" width="9.6640625" style="295" customWidth="1"/>
    <col min="11566" max="11566" width="1.6640625" style="295" customWidth="1"/>
    <col min="11567" max="11567" width="9.6640625" style="295" customWidth="1"/>
    <col min="11568" max="11568" width="1.6640625" style="295" customWidth="1"/>
    <col min="11569" max="11569" width="9.6640625" style="295" customWidth="1"/>
    <col min="11570" max="11570" width="1.6640625" style="295" customWidth="1"/>
    <col min="11571" max="11571" width="9.6640625" style="295" customWidth="1"/>
    <col min="11572" max="11572" width="1.6640625" style="295" customWidth="1"/>
    <col min="11573" max="11573" width="8.6640625" style="295" customWidth="1"/>
    <col min="11574" max="11574" width="1.6640625" style="295" customWidth="1"/>
    <col min="11575" max="11575" width="8.6640625" style="295" customWidth="1"/>
    <col min="11576" max="11577" width="1.6640625" style="295" customWidth="1"/>
    <col min="11578" max="11578" width="3.6640625" style="295" customWidth="1"/>
    <col min="11579" max="11579" width="10.6640625" style="295" customWidth="1"/>
    <col min="11580" max="11580" width="1.6640625" style="295" customWidth="1"/>
    <col min="11581" max="11581" width="10.6640625" style="295" customWidth="1"/>
    <col min="11582" max="11582" width="1.6640625" style="295" customWidth="1"/>
    <col min="11583" max="11583" width="10.6640625" style="295" customWidth="1"/>
    <col min="11584" max="11584" width="1.6640625" style="295" customWidth="1"/>
    <col min="11585" max="11585" width="4.6640625" style="295" customWidth="1"/>
    <col min="11586" max="11598" width="9.109375" style="295"/>
    <col min="11599" max="11599" width="18.44140625" style="295" bestFit="1" customWidth="1"/>
    <col min="11600" max="11600" width="9.109375" style="295"/>
    <col min="11601" max="11601" width="2.6640625" style="295" customWidth="1"/>
    <col min="11602" max="11602" width="12.6640625" style="295" customWidth="1"/>
    <col min="11603" max="11774" width="9.109375" style="295"/>
    <col min="11775" max="11775" width="17.88671875" style="295" customWidth="1"/>
    <col min="11776" max="11776" width="9.44140625" style="295" bestFit="1" customWidth="1"/>
    <col min="11777" max="11777" width="3.6640625" style="295" customWidth="1"/>
    <col min="11778" max="11778" width="10.6640625" style="295" customWidth="1"/>
    <col min="11779" max="11779" width="3.6640625" style="295" customWidth="1"/>
    <col min="11780" max="11780" width="10.6640625" style="295" customWidth="1"/>
    <col min="11781" max="11781" width="3.6640625" style="295" customWidth="1"/>
    <col min="11782" max="11782" width="10.6640625" style="295" customWidth="1"/>
    <col min="11783" max="11783" width="3.6640625" style="295" customWidth="1"/>
    <col min="11784" max="11784" width="6.88671875" style="295" customWidth="1"/>
    <col min="11785" max="11785" width="3.6640625" style="295" customWidth="1"/>
    <col min="11786" max="11786" width="10.6640625" style="295" customWidth="1"/>
    <col min="11787" max="11789" width="3.6640625" style="295" customWidth="1"/>
    <col min="11790" max="11790" width="10.6640625" style="295" customWidth="1"/>
    <col min="11791" max="11791" width="3.6640625" style="295" customWidth="1"/>
    <col min="11792" max="11792" width="10.6640625" style="295" customWidth="1"/>
    <col min="11793" max="11793" width="3.6640625" style="295" customWidth="1"/>
    <col min="11794" max="11794" width="10.6640625" style="295" customWidth="1"/>
    <col min="11795" max="11795" width="3.6640625" style="295" customWidth="1"/>
    <col min="11796" max="11796" width="10.6640625" style="295" customWidth="1"/>
    <col min="11797" max="11797" width="3.6640625" style="295" customWidth="1"/>
    <col min="11798" max="11798" width="10.6640625" style="295" customWidth="1"/>
    <col min="11799" max="11799" width="3.6640625" style="295" customWidth="1"/>
    <col min="11800" max="11800" width="10.6640625" style="295" customWidth="1"/>
    <col min="11801" max="11801" width="3.6640625" style="295" customWidth="1"/>
    <col min="11802" max="11802" width="4.6640625" style="295" customWidth="1"/>
    <col min="11803" max="11803" width="7.6640625" style="295" customWidth="1"/>
    <col min="11804" max="11804" width="1.6640625" style="295" customWidth="1"/>
    <col min="11805" max="11805" width="7.6640625" style="295" customWidth="1"/>
    <col min="11806" max="11806" width="1.6640625" style="295" customWidth="1"/>
    <col min="11807" max="11807" width="7.6640625" style="295" customWidth="1"/>
    <col min="11808" max="11808" width="1.6640625" style="295" customWidth="1"/>
    <col min="11809" max="11809" width="7.6640625" style="295" customWidth="1"/>
    <col min="11810" max="11810" width="1.6640625" style="295" customWidth="1"/>
    <col min="11811" max="11811" width="4.6640625" style="295" customWidth="1"/>
    <col min="11812" max="11812" width="1.6640625" style="295" customWidth="1"/>
    <col min="11813" max="11813" width="4.6640625" style="295" customWidth="1"/>
    <col min="11814" max="11814" width="1.6640625" style="295" customWidth="1"/>
    <col min="11815" max="11815" width="7.6640625" style="295" customWidth="1"/>
    <col min="11816" max="11816" width="1.6640625" style="295" customWidth="1"/>
    <col min="11817" max="11817" width="7.6640625" style="295" customWidth="1"/>
    <col min="11818" max="11819" width="1.6640625" style="295" customWidth="1"/>
    <col min="11820" max="11820" width="5.6640625" style="295" customWidth="1"/>
    <col min="11821" max="11821" width="9.6640625" style="295" customWidth="1"/>
    <col min="11822" max="11822" width="1.6640625" style="295" customWidth="1"/>
    <col min="11823" max="11823" width="9.6640625" style="295" customWidth="1"/>
    <col min="11824" max="11824" width="1.6640625" style="295" customWidth="1"/>
    <col min="11825" max="11825" width="9.6640625" style="295" customWidth="1"/>
    <col min="11826" max="11826" width="1.6640625" style="295" customWidth="1"/>
    <col min="11827" max="11827" width="9.6640625" style="295" customWidth="1"/>
    <col min="11828" max="11828" width="1.6640625" style="295" customWidth="1"/>
    <col min="11829" max="11829" width="8.6640625" style="295" customWidth="1"/>
    <col min="11830" max="11830" width="1.6640625" style="295" customWidth="1"/>
    <col min="11831" max="11831" width="8.6640625" style="295" customWidth="1"/>
    <col min="11832" max="11833" width="1.6640625" style="295" customWidth="1"/>
    <col min="11834" max="11834" width="3.6640625" style="295" customWidth="1"/>
    <col min="11835" max="11835" width="10.6640625" style="295" customWidth="1"/>
    <col min="11836" max="11836" width="1.6640625" style="295" customWidth="1"/>
    <col min="11837" max="11837" width="10.6640625" style="295" customWidth="1"/>
    <col min="11838" max="11838" width="1.6640625" style="295" customWidth="1"/>
    <col min="11839" max="11839" width="10.6640625" style="295" customWidth="1"/>
    <col min="11840" max="11840" width="1.6640625" style="295" customWidth="1"/>
    <col min="11841" max="11841" width="4.6640625" style="295" customWidth="1"/>
    <col min="11842" max="11854" width="9.109375" style="295"/>
    <col min="11855" max="11855" width="18.44140625" style="295" bestFit="1" customWidth="1"/>
    <col min="11856" max="11856" width="9.109375" style="295"/>
    <col min="11857" max="11857" width="2.6640625" style="295" customWidth="1"/>
    <col min="11858" max="11858" width="12.6640625" style="295" customWidth="1"/>
    <col min="11859" max="12030" width="9.109375" style="295"/>
    <col min="12031" max="12031" width="17.88671875" style="295" customWidth="1"/>
    <col min="12032" max="12032" width="9.44140625" style="295" bestFit="1" customWidth="1"/>
    <col min="12033" max="12033" width="3.6640625" style="295" customWidth="1"/>
    <col min="12034" max="12034" width="10.6640625" style="295" customWidth="1"/>
    <col min="12035" max="12035" width="3.6640625" style="295" customWidth="1"/>
    <col min="12036" max="12036" width="10.6640625" style="295" customWidth="1"/>
    <col min="12037" max="12037" width="3.6640625" style="295" customWidth="1"/>
    <col min="12038" max="12038" width="10.6640625" style="295" customWidth="1"/>
    <col min="12039" max="12039" width="3.6640625" style="295" customWidth="1"/>
    <col min="12040" max="12040" width="6.88671875" style="295" customWidth="1"/>
    <col min="12041" max="12041" width="3.6640625" style="295" customWidth="1"/>
    <col min="12042" max="12042" width="10.6640625" style="295" customWidth="1"/>
    <col min="12043" max="12045" width="3.6640625" style="295" customWidth="1"/>
    <col min="12046" max="12046" width="10.6640625" style="295" customWidth="1"/>
    <col min="12047" max="12047" width="3.6640625" style="295" customWidth="1"/>
    <col min="12048" max="12048" width="10.6640625" style="295" customWidth="1"/>
    <col min="12049" max="12049" width="3.6640625" style="295" customWidth="1"/>
    <col min="12050" max="12050" width="10.6640625" style="295" customWidth="1"/>
    <col min="12051" max="12051" width="3.6640625" style="295" customWidth="1"/>
    <col min="12052" max="12052" width="10.6640625" style="295" customWidth="1"/>
    <col min="12053" max="12053" width="3.6640625" style="295" customWidth="1"/>
    <col min="12054" max="12054" width="10.6640625" style="295" customWidth="1"/>
    <col min="12055" max="12055" width="3.6640625" style="295" customWidth="1"/>
    <col min="12056" max="12056" width="10.6640625" style="295" customWidth="1"/>
    <col min="12057" max="12057" width="3.6640625" style="295" customWidth="1"/>
    <col min="12058" max="12058" width="4.6640625" style="295" customWidth="1"/>
    <col min="12059" max="12059" width="7.6640625" style="295" customWidth="1"/>
    <col min="12060" max="12060" width="1.6640625" style="295" customWidth="1"/>
    <col min="12061" max="12061" width="7.6640625" style="295" customWidth="1"/>
    <col min="12062" max="12062" width="1.6640625" style="295" customWidth="1"/>
    <col min="12063" max="12063" width="7.6640625" style="295" customWidth="1"/>
    <col min="12064" max="12064" width="1.6640625" style="295" customWidth="1"/>
    <col min="12065" max="12065" width="7.6640625" style="295" customWidth="1"/>
    <col min="12066" max="12066" width="1.6640625" style="295" customWidth="1"/>
    <col min="12067" max="12067" width="4.6640625" style="295" customWidth="1"/>
    <col min="12068" max="12068" width="1.6640625" style="295" customWidth="1"/>
    <col min="12069" max="12069" width="4.6640625" style="295" customWidth="1"/>
    <col min="12070" max="12070" width="1.6640625" style="295" customWidth="1"/>
    <col min="12071" max="12071" width="7.6640625" style="295" customWidth="1"/>
    <col min="12072" max="12072" width="1.6640625" style="295" customWidth="1"/>
    <col min="12073" max="12073" width="7.6640625" style="295" customWidth="1"/>
    <col min="12074" max="12075" width="1.6640625" style="295" customWidth="1"/>
    <col min="12076" max="12076" width="5.6640625" style="295" customWidth="1"/>
    <col min="12077" max="12077" width="9.6640625" style="295" customWidth="1"/>
    <col min="12078" max="12078" width="1.6640625" style="295" customWidth="1"/>
    <col min="12079" max="12079" width="9.6640625" style="295" customWidth="1"/>
    <col min="12080" max="12080" width="1.6640625" style="295" customWidth="1"/>
    <col min="12081" max="12081" width="9.6640625" style="295" customWidth="1"/>
    <col min="12082" max="12082" width="1.6640625" style="295" customWidth="1"/>
    <col min="12083" max="12083" width="9.6640625" style="295" customWidth="1"/>
    <col min="12084" max="12084" width="1.6640625" style="295" customWidth="1"/>
    <col min="12085" max="12085" width="8.6640625" style="295" customWidth="1"/>
    <col min="12086" max="12086" width="1.6640625" style="295" customWidth="1"/>
    <col min="12087" max="12087" width="8.6640625" style="295" customWidth="1"/>
    <col min="12088" max="12089" width="1.6640625" style="295" customWidth="1"/>
    <col min="12090" max="12090" width="3.6640625" style="295" customWidth="1"/>
    <col min="12091" max="12091" width="10.6640625" style="295" customWidth="1"/>
    <col min="12092" max="12092" width="1.6640625" style="295" customWidth="1"/>
    <col min="12093" max="12093" width="10.6640625" style="295" customWidth="1"/>
    <col min="12094" max="12094" width="1.6640625" style="295" customWidth="1"/>
    <col min="12095" max="12095" width="10.6640625" style="295" customWidth="1"/>
    <col min="12096" max="12096" width="1.6640625" style="295" customWidth="1"/>
    <col min="12097" max="12097" width="4.6640625" style="295" customWidth="1"/>
    <col min="12098" max="12110" width="9.109375" style="295"/>
    <col min="12111" max="12111" width="18.44140625" style="295" bestFit="1" customWidth="1"/>
    <col min="12112" max="12112" width="9.109375" style="295"/>
    <col min="12113" max="12113" width="2.6640625" style="295" customWidth="1"/>
    <col min="12114" max="12114" width="12.6640625" style="295" customWidth="1"/>
    <col min="12115" max="12286" width="9.109375" style="295"/>
    <col min="12287" max="12287" width="17.88671875" style="295" customWidth="1"/>
    <col min="12288" max="12288" width="9.44140625" style="295" bestFit="1" customWidth="1"/>
    <col min="12289" max="12289" width="3.6640625" style="295" customWidth="1"/>
    <col min="12290" max="12290" width="10.6640625" style="295" customWidth="1"/>
    <col min="12291" max="12291" width="3.6640625" style="295" customWidth="1"/>
    <col min="12292" max="12292" width="10.6640625" style="295" customWidth="1"/>
    <col min="12293" max="12293" width="3.6640625" style="295" customWidth="1"/>
    <col min="12294" max="12294" width="10.6640625" style="295" customWidth="1"/>
    <col min="12295" max="12295" width="3.6640625" style="295" customWidth="1"/>
    <col min="12296" max="12296" width="6.88671875" style="295" customWidth="1"/>
    <col min="12297" max="12297" width="3.6640625" style="295" customWidth="1"/>
    <col min="12298" max="12298" width="10.6640625" style="295" customWidth="1"/>
    <col min="12299" max="12301" width="3.6640625" style="295" customWidth="1"/>
    <col min="12302" max="12302" width="10.6640625" style="295" customWidth="1"/>
    <col min="12303" max="12303" width="3.6640625" style="295" customWidth="1"/>
    <col min="12304" max="12304" width="10.6640625" style="295" customWidth="1"/>
    <col min="12305" max="12305" width="3.6640625" style="295" customWidth="1"/>
    <col min="12306" max="12306" width="10.6640625" style="295" customWidth="1"/>
    <col min="12307" max="12307" width="3.6640625" style="295" customWidth="1"/>
    <col min="12308" max="12308" width="10.6640625" style="295" customWidth="1"/>
    <col min="12309" max="12309" width="3.6640625" style="295" customWidth="1"/>
    <col min="12310" max="12310" width="10.6640625" style="295" customWidth="1"/>
    <col min="12311" max="12311" width="3.6640625" style="295" customWidth="1"/>
    <col min="12312" max="12312" width="10.6640625" style="295" customWidth="1"/>
    <col min="12313" max="12313" width="3.6640625" style="295" customWidth="1"/>
    <col min="12314" max="12314" width="4.6640625" style="295" customWidth="1"/>
    <col min="12315" max="12315" width="7.6640625" style="295" customWidth="1"/>
    <col min="12316" max="12316" width="1.6640625" style="295" customWidth="1"/>
    <col min="12317" max="12317" width="7.6640625" style="295" customWidth="1"/>
    <col min="12318" max="12318" width="1.6640625" style="295" customWidth="1"/>
    <col min="12319" max="12319" width="7.6640625" style="295" customWidth="1"/>
    <col min="12320" max="12320" width="1.6640625" style="295" customWidth="1"/>
    <col min="12321" max="12321" width="7.6640625" style="295" customWidth="1"/>
    <col min="12322" max="12322" width="1.6640625" style="295" customWidth="1"/>
    <col min="12323" max="12323" width="4.6640625" style="295" customWidth="1"/>
    <col min="12324" max="12324" width="1.6640625" style="295" customWidth="1"/>
    <col min="12325" max="12325" width="4.6640625" style="295" customWidth="1"/>
    <col min="12326" max="12326" width="1.6640625" style="295" customWidth="1"/>
    <col min="12327" max="12327" width="7.6640625" style="295" customWidth="1"/>
    <col min="12328" max="12328" width="1.6640625" style="295" customWidth="1"/>
    <col min="12329" max="12329" width="7.6640625" style="295" customWidth="1"/>
    <col min="12330" max="12331" width="1.6640625" style="295" customWidth="1"/>
    <col min="12332" max="12332" width="5.6640625" style="295" customWidth="1"/>
    <col min="12333" max="12333" width="9.6640625" style="295" customWidth="1"/>
    <col min="12334" max="12334" width="1.6640625" style="295" customWidth="1"/>
    <col min="12335" max="12335" width="9.6640625" style="295" customWidth="1"/>
    <col min="12336" max="12336" width="1.6640625" style="295" customWidth="1"/>
    <col min="12337" max="12337" width="9.6640625" style="295" customWidth="1"/>
    <col min="12338" max="12338" width="1.6640625" style="295" customWidth="1"/>
    <col min="12339" max="12339" width="9.6640625" style="295" customWidth="1"/>
    <col min="12340" max="12340" width="1.6640625" style="295" customWidth="1"/>
    <col min="12341" max="12341" width="8.6640625" style="295" customWidth="1"/>
    <col min="12342" max="12342" width="1.6640625" style="295" customWidth="1"/>
    <col min="12343" max="12343" width="8.6640625" style="295" customWidth="1"/>
    <col min="12344" max="12345" width="1.6640625" style="295" customWidth="1"/>
    <col min="12346" max="12346" width="3.6640625" style="295" customWidth="1"/>
    <col min="12347" max="12347" width="10.6640625" style="295" customWidth="1"/>
    <col min="12348" max="12348" width="1.6640625" style="295" customWidth="1"/>
    <col min="12349" max="12349" width="10.6640625" style="295" customWidth="1"/>
    <col min="12350" max="12350" width="1.6640625" style="295" customWidth="1"/>
    <col min="12351" max="12351" width="10.6640625" style="295" customWidth="1"/>
    <col min="12352" max="12352" width="1.6640625" style="295" customWidth="1"/>
    <col min="12353" max="12353" width="4.6640625" style="295" customWidth="1"/>
    <col min="12354" max="12366" width="9.109375" style="295"/>
    <col min="12367" max="12367" width="18.44140625" style="295" bestFit="1" customWidth="1"/>
    <col min="12368" max="12368" width="9.109375" style="295"/>
    <col min="12369" max="12369" width="2.6640625" style="295" customWidth="1"/>
    <col min="12370" max="12370" width="12.6640625" style="295" customWidth="1"/>
    <col min="12371" max="12542" width="9.109375" style="295"/>
    <col min="12543" max="12543" width="17.88671875" style="295" customWidth="1"/>
    <col min="12544" max="12544" width="9.44140625" style="295" bestFit="1" customWidth="1"/>
    <col min="12545" max="12545" width="3.6640625" style="295" customWidth="1"/>
    <col min="12546" max="12546" width="10.6640625" style="295" customWidth="1"/>
    <col min="12547" max="12547" width="3.6640625" style="295" customWidth="1"/>
    <col min="12548" max="12548" width="10.6640625" style="295" customWidth="1"/>
    <col min="12549" max="12549" width="3.6640625" style="295" customWidth="1"/>
    <col min="12550" max="12550" width="10.6640625" style="295" customWidth="1"/>
    <col min="12551" max="12551" width="3.6640625" style="295" customWidth="1"/>
    <col min="12552" max="12552" width="6.88671875" style="295" customWidth="1"/>
    <col min="12553" max="12553" width="3.6640625" style="295" customWidth="1"/>
    <col min="12554" max="12554" width="10.6640625" style="295" customWidth="1"/>
    <col min="12555" max="12557" width="3.6640625" style="295" customWidth="1"/>
    <col min="12558" max="12558" width="10.6640625" style="295" customWidth="1"/>
    <col min="12559" max="12559" width="3.6640625" style="295" customWidth="1"/>
    <col min="12560" max="12560" width="10.6640625" style="295" customWidth="1"/>
    <col min="12561" max="12561" width="3.6640625" style="295" customWidth="1"/>
    <col min="12562" max="12562" width="10.6640625" style="295" customWidth="1"/>
    <col min="12563" max="12563" width="3.6640625" style="295" customWidth="1"/>
    <col min="12564" max="12564" width="10.6640625" style="295" customWidth="1"/>
    <col min="12565" max="12565" width="3.6640625" style="295" customWidth="1"/>
    <col min="12566" max="12566" width="10.6640625" style="295" customWidth="1"/>
    <col min="12567" max="12567" width="3.6640625" style="295" customWidth="1"/>
    <col min="12568" max="12568" width="10.6640625" style="295" customWidth="1"/>
    <col min="12569" max="12569" width="3.6640625" style="295" customWidth="1"/>
    <col min="12570" max="12570" width="4.6640625" style="295" customWidth="1"/>
    <col min="12571" max="12571" width="7.6640625" style="295" customWidth="1"/>
    <col min="12572" max="12572" width="1.6640625" style="295" customWidth="1"/>
    <col min="12573" max="12573" width="7.6640625" style="295" customWidth="1"/>
    <col min="12574" max="12574" width="1.6640625" style="295" customWidth="1"/>
    <col min="12575" max="12575" width="7.6640625" style="295" customWidth="1"/>
    <col min="12576" max="12576" width="1.6640625" style="295" customWidth="1"/>
    <col min="12577" max="12577" width="7.6640625" style="295" customWidth="1"/>
    <col min="12578" max="12578" width="1.6640625" style="295" customWidth="1"/>
    <col min="12579" max="12579" width="4.6640625" style="295" customWidth="1"/>
    <col min="12580" max="12580" width="1.6640625" style="295" customWidth="1"/>
    <col min="12581" max="12581" width="4.6640625" style="295" customWidth="1"/>
    <col min="12582" max="12582" width="1.6640625" style="295" customWidth="1"/>
    <col min="12583" max="12583" width="7.6640625" style="295" customWidth="1"/>
    <col min="12584" max="12584" width="1.6640625" style="295" customWidth="1"/>
    <col min="12585" max="12585" width="7.6640625" style="295" customWidth="1"/>
    <col min="12586" max="12587" width="1.6640625" style="295" customWidth="1"/>
    <col min="12588" max="12588" width="5.6640625" style="295" customWidth="1"/>
    <col min="12589" max="12589" width="9.6640625" style="295" customWidth="1"/>
    <col min="12590" max="12590" width="1.6640625" style="295" customWidth="1"/>
    <col min="12591" max="12591" width="9.6640625" style="295" customWidth="1"/>
    <col min="12592" max="12592" width="1.6640625" style="295" customWidth="1"/>
    <col min="12593" max="12593" width="9.6640625" style="295" customWidth="1"/>
    <col min="12594" max="12594" width="1.6640625" style="295" customWidth="1"/>
    <col min="12595" max="12595" width="9.6640625" style="295" customWidth="1"/>
    <col min="12596" max="12596" width="1.6640625" style="295" customWidth="1"/>
    <col min="12597" max="12597" width="8.6640625" style="295" customWidth="1"/>
    <col min="12598" max="12598" width="1.6640625" style="295" customWidth="1"/>
    <col min="12599" max="12599" width="8.6640625" style="295" customWidth="1"/>
    <col min="12600" max="12601" width="1.6640625" style="295" customWidth="1"/>
    <col min="12602" max="12602" width="3.6640625" style="295" customWidth="1"/>
    <col min="12603" max="12603" width="10.6640625" style="295" customWidth="1"/>
    <col min="12604" max="12604" width="1.6640625" style="295" customWidth="1"/>
    <col min="12605" max="12605" width="10.6640625" style="295" customWidth="1"/>
    <col min="12606" max="12606" width="1.6640625" style="295" customWidth="1"/>
    <col min="12607" max="12607" width="10.6640625" style="295" customWidth="1"/>
    <col min="12608" max="12608" width="1.6640625" style="295" customWidth="1"/>
    <col min="12609" max="12609" width="4.6640625" style="295" customWidth="1"/>
    <col min="12610" max="12622" width="9.109375" style="295"/>
    <col min="12623" max="12623" width="18.44140625" style="295" bestFit="1" customWidth="1"/>
    <col min="12624" max="12624" width="9.109375" style="295"/>
    <col min="12625" max="12625" width="2.6640625" style="295" customWidth="1"/>
    <col min="12626" max="12626" width="12.6640625" style="295" customWidth="1"/>
    <col min="12627" max="12798" width="9.109375" style="295"/>
    <col min="12799" max="12799" width="17.88671875" style="295" customWidth="1"/>
    <col min="12800" max="12800" width="9.44140625" style="295" bestFit="1" customWidth="1"/>
    <col min="12801" max="12801" width="3.6640625" style="295" customWidth="1"/>
    <col min="12802" max="12802" width="10.6640625" style="295" customWidth="1"/>
    <col min="12803" max="12803" width="3.6640625" style="295" customWidth="1"/>
    <col min="12804" max="12804" width="10.6640625" style="295" customWidth="1"/>
    <col min="12805" max="12805" width="3.6640625" style="295" customWidth="1"/>
    <col min="12806" max="12806" width="10.6640625" style="295" customWidth="1"/>
    <col min="12807" max="12807" width="3.6640625" style="295" customWidth="1"/>
    <col min="12808" max="12808" width="6.88671875" style="295" customWidth="1"/>
    <col min="12809" max="12809" width="3.6640625" style="295" customWidth="1"/>
    <col min="12810" max="12810" width="10.6640625" style="295" customWidth="1"/>
    <col min="12811" max="12813" width="3.6640625" style="295" customWidth="1"/>
    <col min="12814" max="12814" width="10.6640625" style="295" customWidth="1"/>
    <col min="12815" max="12815" width="3.6640625" style="295" customWidth="1"/>
    <col min="12816" max="12816" width="10.6640625" style="295" customWidth="1"/>
    <col min="12817" max="12817" width="3.6640625" style="295" customWidth="1"/>
    <col min="12818" max="12818" width="10.6640625" style="295" customWidth="1"/>
    <col min="12819" max="12819" width="3.6640625" style="295" customWidth="1"/>
    <col min="12820" max="12820" width="10.6640625" style="295" customWidth="1"/>
    <col min="12821" max="12821" width="3.6640625" style="295" customWidth="1"/>
    <col min="12822" max="12822" width="10.6640625" style="295" customWidth="1"/>
    <col min="12823" max="12823" width="3.6640625" style="295" customWidth="1"/>
    <col min="12824" max="12824" width="10.6640625" style="295" customWidth="1"/>
    <col min="12825" max="12825" width="3.6640625" style="295" customWidth="1"/>
    <col min="12826" max="12826" width="4.6640625" style="295" customWidth="1"/>
    <col min="12827" max="12827" width="7.6640625" style="295" customWidth="1"/>
    <col min="12828" max="12828" width="1.6640625" style="295" customWidth="1"/>
    <col min="12829" max="12829" width="7.6640625" style="295" customWidth="1"/>
    <col min="12830" max="12830" width="1.6640625" style="295" customWidth="1"/>
    <col min="12831" max="12831" width="7.6640625" style="295" customWidth="1"/>
    <col min="12832" max="12832" width="1.6640625" style="295" customWidth="1"/>
    <col min="12833" max="12833" width="7.6640625" style="295" customWidth="1"/>
    <col min="12834" max="12834" width="1.6640625" style="295" customWidth="1"/>
    <col min="12835" max="12835" width="4.6640625" style="295" customWidth="1"/>
    <col min="12836" max="12836" width="1.6640625" style="295" customWidth="1"/>
    <col min="12837" max="12837" width="4.6640625" style="295" customWidth="1"/>
    <col min="12838" max="12838" width="1.6640625" style="295" customWidth="1"/>
    <col min="12839" max="12839" width="7.6640625" style="295" customWidth="1"/>
    <col min="12840" max="12840" width="1.6640625" style="295" customWidth="1"/>
    <col min="12841" max="12841" width="7.6640625" style="295" customWidth="1"/>
    <col min="12842" max="12843" width="1.6640625" style="295" customWidth="1"/>
    <col min="12844" max="12844" width="5.6640625" style="295" customWidth="1"/>
    <col min="12845" max="12845" width="9.6640625" style="295" customWidth="1"/>
    <col min="12846" max="12846" width="1.6640625" style="295" customWidth="1"/>
    <col min="12847" max="12847" width="9.6640625" style="295" customWidth="1"/>
    <col min="12848" max="12848" width="1.6640625" style="295" customWidth="1"/>
    <col min="12849" max="12849" width="9.6640625" style="295" customWidth="1"/>
    <col min="12850" max="12850" width="1.6640625" style="295" customWidth="1"/>
    <col min="12851" max="12851" width="9.6640625" style="295" customWidth="1"/>
    <col min="12852" max="12852" width="1.6640625" style="295" customWidth="1"/>
    <col min="12853" max="12853" width="8.6640625" style="295" customWidth="1"/>
    <col min="12854" max="12854" width="1.6640625" style="295" customWidth="1"/>
    <col min="12855" max="12855" width="8.6640625" style="295" customWidth="1"/>
    <col min="12856" max="12857" width="1.6640625" style="295" customWidth="1"/>
    <col min="12858" max="12858" width="3.6640625" style="295" customWidth="1"/>
    <col min="12859" max="12859" width="10.6640625" style="295" customWidth="1"/>
    <col min="12860" max="12860" width="1.6640625" style="295" customWidth="1"/>
    <col min="12861" max="12861" width="10.6640625" style="295" customWidth="1"/>
    <col min="12862" max="12862" width="1.6640625" style="295" customWidth="1"/>
    <col min="12863" max="12863" width="10.6640625" style="295" customWidth="1"/>
    <col min="12864" max="12864" width="1.6640625" style="295" customWidth="1"/>
    <col min="12865" max="12865" width="4.6640625" style="295" customWidth="1"/>
    <col min="12866" max="12878" width="9.109375" style="295"/>
    <col min="12879" max="12879" width="18.44140625" style="295" bestFit="1" customWidth="1"/>
    <col min="12880" max="12880" width="9.109375" style="295"/>
    <col min="12881" max="12881" width="2.6640625" style="295" customWidth="1"/>
    <col min="12882" max="12882" width="12.6640625" style="295" customWidth="1"/>
    <col min="12883" max="13054" width="9.109375" style="295"/>
    <col min="13055" max="13055" width="17.88671875" style="295" customWidth="1"/>
    <col min="13056" max="13056" width="9.44140625" style="295" bestFit="1" customWidth="1"/>
    <col min="13057" max="13057" width="3.6640625" style="295" customWidth="1"/>
    <col min="13058" max="13058" width="10.6640625" style="295" customWidth="1"/>
    <col min="13059" max="13059" width="3.6640625" style="295" customWidth="1"/>
    <col min="13060" max="13060" width="10.6640625" style="295" customWidth="1"/>
    <col min="13061" max="13061" width="3.6640625" style="295" customWidth="1"/>
    <col min="13062" max="13062" width="10.6640625" style="295" customWidth="1"/>
    <col min="13063" max="13063" width="3.6640625" style="295" customWidth="1"/>
    <col min="13064" max="13064" width="6.88671875" style="295" customWidth="1"/>
    <col min="13065" max="13065" width="3.6640625" style="295" customWidth="1"/>
    <col min="13066" max="13066" width="10.6640625" style="295" customWidth="1"/>
    <col min="13067" max="13069" width="3.6640625" style="295" customWidth="1"/>
    <col min="13070" max="13070" width="10.6640625" style="295" customWidth="1"/>
    <col min="13071" max="13071" width="3.6640625" style="295" customWidth="1"/>
    <col min="13072" max="13072" width="10.6640625" style="295" customWidth="1"/>
    <col min="13073" max="13073" width="3.6640625" style="295" customWidth="1"/>
    <col min="13074" max="13074" width="10.6640625" style="295" customWidth="1"/>
    <col min="13075" max="13075" width="3.6640625" style="295" customWidth="1"/>
    <col min="13076" max="13076" width="10.6640625" style="295" customWidth="1"/>
    <col min="13077" max="13077" width="3.6640625" style="295" customWidth="1"/>
    <col min="13078" max="13078" width="10.6640625" style="295" customWidth="1"/>
    <col min="13079" max="13079" width="3.6640625" style="295" customWidth="1"/>
    <col min="13080" max="13080" width="10.6640625" style="295" customWidth="1"/>
    <col min="13081" max="13081" width="3.6640625" style="295" customWidth="1"/>
    <col min="13082" max="13082" width="4.6640625" style="295" customWidth="1"/>
    <col min="13083" max="13083" width="7.6640625" style="295" customWidth="1"/>
    <col min="13084" max="13084" width="1.6640625" style="295" customWidth="1"/>
    <col min="13085" max="13085" width="7.6640625" style="295" customWidth="1"/>
    <col min="13086" max="13086" width="1.6640625" style="295" customWidth="1"/>
    <col min="13087" max="13087" width="7.6640625" style="295" customWidth="1"/>
    <col min="13088" max="13088" width="1.6640625" style="295" customWidth="1"/>
    <col min="13089" max="13089" width="7.6640625" style="295" customWidth="1"/>
    <col min="13090" max="13090" width="1.6640625" style="295" customWidth="1"/>
    <col min="13091" max="13091" width="4.6640625" style="295" customWidth="1"/>
    <col min="13092" max="13092" width="1.6640625" style="295" customWidth="1"/>
    <col min="13093" max="13093" width="4.6640625" style="295" customWidth="1"/>
    <col min="13094" max="13094" width="1.6640625" style="295" customWidth="1"/>
    <col min="13095" max="13095" width="7.6640625" style="295" customWidth="1"/>
    <col min="13096" max="13096" width="1.6640625" style="295" customWidth="1"/>
    <col min="13097" max="13097" width="7.6640625" style="295" customWidth="1"/>
    <col min="13098" max="13099" width="1.6640625" style="295" customWidth="1"/>
    <col min="13100" max="13100" width="5.6640625" style="295" customWidth="1"/>
    <col min="13101" max="13101" width="9.6640625" style="295" customWidth="1"/>
    <col min="13102" max="13102" width="1.6640625" style="295" customWidth="1"/>
    <col min="13103" max="13103" width="9.6640625" style="295" customWidth="1"/>
    <col min="13104" max="13104" width="1.6640625" style="295" customWidth="1"/>
    <col min="13105" max="13105" width="9.6640625" style="295" customWidth="1"/>
    <col min="13106" max="13106" width="1.6640625" style="295" customWidth="1"/>
    <col min="13107" max="13107" width="9.6640625" style="295" customWidth="1"/>
    <col min="13108" max="13108" width="1.6640625" style="295" customWidth="1"/>
    <col min="13109" max="13109" width="8.6640625" style="295" customWidth="1"/>
    <col min="13110" max="13110" width="1.6640625" style="295" customWidth="1"/>
    <col min="13111" max="13111" width="8.6640625" style="295" customWidth="1"/>
    <col min="13112" max="13113" width="1.6640625" style="295" customWidth="1"/>
    <col min="13114" max="13114" width="3.6640625" style="295" customWidth="1"/>
    <col min="13115" max="13115" width="10.6640625" style="295" customWidth="1"/>
    <col min="13116" max="13116" width="1.6640625" style="295" customWidth="1"/>
    <col min="13117" max="13117" width="10.6640625" style="295" customWidth="1"/>
    <col min="13118" max="13118" width="1.6640625" style="295" customWidth="1"/>
    <col min="13119" max="13119" width="10.6640625" style="295" customWidth="1"/>
    <col min="13120" max="13120" width="1.6640625" style="295" customWidth="1"/>
    <col min="13121" max="13121" width="4.6640625" style="295" customWidth="1"/>
    <col min="13122" max="13134" width="9.109375" style="295"/>
    <col min="13135" max="13135" width="18.44140625" style="295" bestFit="1" customWidth="1"/>
    <col min="13136" max="13136" width="9.109375" style="295"/>
    <col min="13137" max="13137" width="2.6640625" style="295" customWidth="1"/>
    <col min="13138" max="13138" width="12.6640625" style="295" customWidth="1"/>
    <col min="13139" max="13310" width="9.109375" style="295"/>
    <col min="13311" max="13311" width="17.88671875" style="295" customWidth="1"/>
    <col min="13312" max="13312" width="9.44140625" style="295" bestFit="1" customWidth="1"/>
    <col min="13313" max="13313" width="3.6640625" style="295" customWidth="1"/>
    <col min="13314" max="13314" width="10.6640625" style="295" customWidth="1"/>
    <col min="13315" max="13315" width="3.6640625" style="295" customWidth="1"/>
    <col min="13316" max="13316" width="10.6640625" style="295" customWidth="1"/>
    <col min="13317" max="13317" width="3.6640625" style="295" customWidth="1"/>
    <col min="13318" max="13318" width="10.6640625" style="295" customWidth="1"/>
    <col min="13319" max="13319" width="3.6640625" style="295" customWidth="1"/>
    <col min="13320" max="13320" width="6.88671875" style="295" customWidth="1"/>
    <col min="13321" max="13321" width="3.6640625" style="295" customWidth="1"/>
    <col min="13322" max="13322" width="10.6640625" style="295" customWidth="1"/>
    <col min="13323" max="13325" width="3.6640625" style="295" customWidth="1"/>
    <col min="13326" max="13326" width="10.6640625" style="295" customWidth="1"/>
    <col min="13327" max="13327" width="3.6640625" style="295" customWidth="1"/>
    <col min="13328" max="13328" width="10.6640625" style="295" customWidth="1"/>
    <col min="13329" max="13329" width="3.6640625" style="295" customWidth="1"/>
    <col min="13330" max="13330" width="10.6640625" style="295" customWidth="1"/>
    <col min="13331" max="13331" width="3.6640625" style="295" customWidth="1"/>
    <col min="13332" max="13332" width="10.6640625" style="295" customWidth="1"/>
    <col min="13333" max="13333" width="3.6640625" style="295" customWidth="1"/>
    <col min="13334" max="13334" width="10.6640625" style="295" customWidth="1"/>
    <col min="13335" max="13335" width="3.6640625" style="295" customWidth="1"/>
    <col min="13336" max="13336" width="10.6640625" style="295" customWidth="1"/>
    <col min="13337" max="13337" width="3.6640625" style="295" customWidth="1"/>
    <col min="13338" max="13338" width="4.6640625" style="295" customWidth="1"/>
    <col min="13339" max="13339" width="7.6640625" style="295" customWidth="1"/>
    <col min="13340" max="13340" width="1.6640625" style="295" customWidth="1"/>
    <col min="13341" max="13341" width="7.6640625" style="295" customWidth="1"/>
    <col min="13342" max="13342" width="1.6640625" style="295" customWidth="1"/>
    <col min="13343" max="13343" width="7.6640625" style="295" customWidth="1"/>
    <col min="13344" max="13344" width="1.6640625" style="295" customWidth="1"/>
    <col min="13345" max="13345" width="7.6640625" style="295" customWidth="1"/>
    <col min="13346" max="13346" width="1.6640625" style="295" customWidth="1"/>
    <col min="13347" max="13347" width="4.6640625" style="295" customWidth="1"/>
    <col min="13348" max="13348" width="1.6640625" style="295" customWidth="1"/>
    <col min="13349" max="13349" width="4.6640625" style="295" customWidth="1"/>
    <col min="13350" max="13350" width="1.6640625" style="295" customWidth="1"/>
    <col min="13351" max="13351" width="7.6640625" style="295" customWidth="1"/>
    <col min="13352" max="13352" width="1.6640625" style="295" customWidth="1"/>
    <col min="13353" max="13353" width="7.6640625" style="295" customWidth="1"/>
    <col min="13354" max="13355" width="1.6640625" style="295" customWidth="1"/>
    <col min="13356" max="13356" width="5.6640625" style="295" customWidth="1"/>
    <col min="13357" max="13357" width="9.6640625" style="295" customWidth="1"/>
    <col min="13358" max="13358" width="1.6640625" style="295" customWidth="1"/>
    <col min="13359" max="13359" width="9.6640625" style="295" customWidth="1"/>
    <col min="13360" max="13360" width="1.6640625" style="295" customWidth="1"/>
    <col min="13361" max="13361" width="9.6640625" style="295" customWidth="1"/>
    <col min="13362" max="13362" width="1.6640625" style="295" customWidth="1"/>
    <col min="13363" max="13363" width="9.6640625" style="295" customWidth="1"/>
    <col min="13364" max="13364" width="1.6640625" style="295" customWidth="1"/>
    <col min="13365" max="13365" width="8.6640625" style="295" customWidth="1"/>
    <col min="13366" max="13366" width="1.6640625" style="295" customWidth="1"/>
    <col min="13367" max="13367" width="8.6640625" style="295" customWidth="1"/>
    <col min="13368" max="13369" width="1.6640625" style="295" customWidth="1"/>
    <col min="13370" max="13370" width="3.6640625" style="295" customWidth="1"/>
    <col min="13371" max="13371" width="10.6640625" style="295" customWidth="1"/>
    <col min="13372" max="13372" width="1.6640625" style="295" customWidth="1"/>
    <col min="13373" max="13373" width="10.6640625" style="295" customWidth="1"/>
    <col min="13374" max="13374" width="1.6640625" style="295" customWidth="1"/>
    <col min="13375" max="13375" width="10.6640625" style="295" customWidth="1"/>
    <col min="13376" max="13376" width="1.6640625" style="295" customWidth="1"/>
    <col min="13377" max="13377" width="4.6640625" style="295" customWidth="1"/>
    <col min="13378" max="13390" width="9.109375" style="295"/>
    <col min="13391" max="13391" width="18.44140625" style="295" bestFit="1" customWidth="1"/>
    <col min="13392" max="13392" width="9.109375" style="295"/>
    <col min="13393" max="13393" width="2.6640625" style="295" customWidth="1"/>
    <col min="13394" max="13394" width="12.6640625" style="295" customWidth="1"/>
    <col min="13395" max="13566" width="9.109375" style="295"/>
    <col min="13567" max="13567" width="17.88671875" style="295" customWidth="1"/>
    <col min="13568" max="13568" width="9.44140625" style="295" bestFit="1" customWidth="1"/>
    <col min="13569" max="13569" width="3.6640625" style="295" customWidth="1"/>
    <col min="13570" max="13570" width="10.6640625" style="295" customWidth="1"/>
    <col min="13571" max="13571" width="3.6640625" style="295" customWidth="1"/>
    <col min="13572" max="13572" width="10.6640625" style="295" customWidth="1"/>
    <col min="13573" max="13573" width="3.6640625" style="295" customWidth="1"/>
    <col min="13574" max="13574" width="10.6640625" style="295" customWidth="1"/>
    <col min="13575" max="13575" width="3.6640625" style="295" customWidth="1"/>
    <col min="13576" max="13576" width="6.88671875" style="295" customWidth="1"/>
    <col min="13577" max="13577" width="3.6640625" style="295" customWidth="1"/>
    <col min="13578" max="13578" width="10.6640625" style="295" customWidth="1"/>
    <col min="13579" max="13581" width="3.6640625" style="295" customWidth="1"/>
    <col min="13582" max="13582" width="10.6640625" style="295" customWidth="1"/>
    <col min="13583" max="13583" width="3.6640625" style="295" customWidth="1"/>
    <col min="13584" max="13584" width="10.6640625" style="295" customWidth="1"/>
    <col min="13585" max="13585" width="3.6640625" style="295" customWidth="1"/>
    <col min="13586" max="13586" width="10.6640625" style="295" customWidth="1"/>
    <col min="13587" max="13587" width="3.6640625" style="295" customWidth="1"/>
    <col min="13588" max="13588" width="10.6640625" style="295" customWidth="1"/>
    <col min="13589" max="13589" width="3.6640625" style="295" customWidth="1"/>
    <col min="13590" max="13590" width="10.6640625" style="295" customWidth="1"/>
    <col min="13591" max="13591" width="3.6640625" style="295" customWidth="1"/>
    <col min="13592" max="13592" width="10.6640625" style="295" customWidth="1"/>
    <col min="13593" max="13593" width="3.6640625" style="295" customWidth="1"/>
    <col min="13594" max="13594" width="4.6640625" style="295" customWidth="1"/>
    <col min="13595" max="13595" width="7.6640625" style="295" customWidth="1"/>
    <col min="13596" max="13596" width="1.6640625" style="295" customWidth="1"/>
    <col min="13597" max="13597" width="7.6640625" style="295" customWidth="1"/>
    <col min="13598" max="13598" width="1.6640625" style="295" customWidth="1"/>
    <col min="13599" max="13599" width="7.6640625" style="295" customWidth="1"/>
    <col min="13600" max="13600" width="1.6640625" style="295" customWidth="1"/>
    <col min="13601" max="13601" width="7.6640625" style="295" customWidth="1"/>
    <col min="13602" max="13602" width="1.6640625" style="295" customWidth="1"/>
    <col min="13603" max="13603" width="4.6640625" style="295" customWidth="1"/>
    <col min="13604" max="13604" width="1.6640625" style="295" customWidth="1"/>
    <col min="13605" max="13605" width="4.6640625" style="295" customWidth="1"/>
    <col min="13606" max="13606" width="1.6640625" style="295" customWidth="1"/>
    <col min="13607" max="13607" width="7.6640625" style="295" customWidth="1"/>
    <col min="13608" max="13608" width="1.6640625" style="295" customWidth="1"/>
    <col min="13609" max="13609" width="7.6640625" style="295" customWidth="1"/>
    <col min="13610" max="13611" width="1.6640625" style="295" customWidth="1"/>
    <col min="13612" max="13612" width="5.6640625" style="295" customWidth="1"/>
    <col min="13613" max="13613" width="9.6640625" style="295" customWidth="1"/>
    <col min="13614" max="13614" width="1.6640625" style="295" customWidth="1"/>
    <col min="13615" max="13615" width="9.6640625" style="295" customWidth="1"/>
    <col min="13616" max="13616" width="1.6640625" style="295" customWidth="1"/>
    <col min="13617" max="13617" width="9.6640625" style="295" customWidth="1"/>
    <col min="13618" max="13618" width="1.6640625" style="295" customWidth="1"/>
    <col min="13619" max="13619" width="9.6640625" style="295" customWidth="1"/>
    <col min="13620" max="13620" width="1.6640625" style="295" customWidth="1"/>
    <col min="13621" max="13621" width="8.6640625" style="295" customWidth="1"/>
    <col min="13622" max="13622" width="1.6640625" style="295" customWidth="1"/>
    <col min="13623" max="13623" width="8.6640625" style="295" customWidth="1"/>
    <col min="13624" max="13625" width="1.6640625" style="295" customWidth="1"/>
    <col min="13626" max="13626" width="3.6640625" style="295" customWidth="1"/>
    <col min="13627" max="13627" width="10.6640625" style="295" customWidth="1"/>
    <col min="13628" max="13628" width="1.6640625" style="295" customWidth="1"/>
    <col min="13629" max="13629" width="10.6640625" style="295" customWidth="1"/>
    <col min="13630" max="13630" width="1.6640625" style="295" customWidth="1"/>
    <col min="13631" max="13631" width="10.6640625" style="295" customWidth="1"/>
    <col min="13632" max="13632" width="1.6640625" style="295" customWidth="1"/>
    <col min="13633" max="13633" width="4.6640625" style="295" customWidth="1"/>
    <col min="13634" max="13646" width="9.109375" style="295"/>
    <col min="13647" max="13647" width="18.44140625" style="295" bestFit="1" customWidth="1"/>
    <col min="13648" max="13648" width="9.109375" style="295"/>
    <col min="13649" max="13649" width="2.6640625" style="295" customWidth="1"/>
    <col min="13650" max="13650" width="12.6640625" style="295" customWidth="1"/>
    <col min="13651" max="13822" width="9.109375" style="295"/>
    <col min="13823" max="13823" width="17.88671875" style="295" customWidth="1"/>
    <col min="13824" max="13824" width="9.44140625" style="295" bestFit="1" customWidth="1"/>
    <col min="13825" max="13825" width="3.6640625" style="295" customWidth="1"/>
    <col min="13826" max="13826" width="10.6640625" style="295" customWidth="1"/>
    <col min="13827" max="13827" width="3.6640625" style="295" customWidth="1"/>
    <col min="13828" max="13828" width="10.6640625" style="295" customWidth="1"/>
    <col min="13829" max="13829" width="3.6640625" style="295" customWidth="1"/>
    <col min="13830" max="13830" width="10.6640625" style="295" customWidth="1"/>
    <col min="13831" max="13831" width="3.6640625" style="295" customWidth="1"/>
    <col min="13832" max="13832" width="6.88671875" style="295" customWidth="1"/>
    <col min="13833" max="13833" width="3.6640625" style="295" customWidth="1"/>
    <col min="13834" max="13834" width="10.6640625" style="295" customWidth="1"/>
    <col min="13835" max="13837" width="3.6640625" style="295" customWidth="1"/>
    <col min="13838" max="13838" width="10.6640625" style="295" customWidth="1"/>
    <col min="13839" max="13839" width="3.6640625" style="295" customWidth="1"/>
    <col min="13840" max="13840" width="10.6640625" style="295" customWidth="1"/>
    <col min="13841" max="13841" width="3.6640625" style="295" customWidth="1"/>
    <col min="13842" max="13842" width="10.6640625" style="295" customWidth="1"/>
    <col min="13843" max="13843" width="3.6640625" style="295" customWidth="1"/>
    <col min="13844" max="13844" width="10.6640625" style="295" customWidth="1"/>
    <col min="13845" max="13845" width="3.6640625" style="295" customWidth="1"/>
    <col min="13846" max="13846" width="10.6640625" style="295" customWidth="1"/>
    <col min="13847" max="13847" width="3.6640625" style="295" customWidth="1"/>
    <col min="13848" max="13848" width="10.6640625" style="295" customWidth="1"/>
    <col min="13849" max="13849" width="3.6640625" style="295" customWidth="1"/>
    <col min="13850" max="13850" width="4.6640625" style="295" customWidth="1"/>
    <col min="13851" max="13851" width="7.6640625" style="295" customWidth="1"/>
    <col min="13852" max="13852" width="1.6640625" style="295" customWidth="1"/>
    <col min="13853" max="13853" width="7.6640625" style="295" customWidth="1"/>
    <col min="13854" max="13854" width="1.6640625" style="295" customWidth="1"/>
    <col min="13855" max="13855" width="7.6640625" style="295" customWidth="1"/>
    <col min="13856" max="13856" width="1.6640625" style="295" customWidth="1"/>
    <col min="13857" max="13857" width="7.6640625" style="295" customWidth="1"/>
    <col min="13858" max="13858" width="1.6640625" style="295" customWidth="1"/>
    <col min="13859" max="13859" width="4.6640625" style="295" customWidth="1"/>
    <col min="13860" max="13860" width="1.6640625" style="295" customWidth="1"/>
    <col min="13861" max="13861" width="4.6640625" style="295" customWidth="1"/>
    <col min="13862" max="13862" width="1.6640625" style="295" customWidth="1"/>
    <col min="13863" max="13863" width="7.6640625" style="295" customWidth="1"/>
    <col min="13864" max="13864" width="1.6640625" style="295" customWidth="1"/>
    <col min="13865" max="13865" width="7.6640625" style="295" customWidth="1"/>
    <col min="13866" max="13867" width="1.6640625" style="295" customWidth="1"/>
    <col min="13868" max="13868" width="5.6640625" style="295" customWidth="1"/>
    <col min="13869" max="13869" width="9.6640625" style="295" customWidth="1"/>
    <col min="13870" max="13870" width="1.6640625" style="295" customWidth="1"/>
    <col min="13871" max="13871" width="9.6640625" style="295" customWidth="1"/>
    <col min="13872" max="13872" width="1.6640625" style="295" customWidth="1"/>
    <col min="13873" max="13873" width="9.6640625" style="295" customWidth="1"/>
    <col min="13874" max="13874" width="1.6640625" style="295" customWidth="1"/>
    <col min="13875" max="13875" width="9.6640625" style="295" customWidth="1"/>
    <col min="13876" max="13876" width="1.6640625" style="295" customWidth="1"/>
    <col min="13877" max="13877" width="8.6640625" style="295" customWidth="1"/>
    <col min="13878" max="13878" width="1.6640625" style="295" customWidth="1"/>
    <col min="13879" max="13879" width="8.6640625" style="295" customWidth="1"/>
    <col min="13880" max="13881" width="1.6640625" style="295" customWidth="1"/>
    <col min="13882" max="13882" width="3.6640625" style="295" customWidth="1"/>
    <col min="13883" max="13883" width="10.6640625" style="295" customWidth="1"/>
    <col min="13884" max="13884" width="1.6640625" style="295" customWidth="1"/>
    <col min="13885" max="13885" width="10.6640625" style="295" customWidth="1"/>
    <col min="13886" max="13886" width="1.6640625" style="295" customWidth="1"/>
    <col min="13887" max="13887" width="10.6640625" style="295" customWidth="1"/>
    <col min="13888" max="13888" width="1.6640625" style="295" customWidth="1"/>
    <col min="13889" max="13889" width="4.6640625" style="295" customWidth="1"/>
    <col min="13890" max="13902" width="9.109375" style="295"/>
    <col min="13903" max="13903" width="18.44140625" style="295" bestFit="1" customWidth="1"/>
    <col min="13904" max="13904" width="9.109375" style="295"/>
    <col min="13905" max="13905" width="2.6640625" style="295" customWidth="1"/>
    <col min="13906" max="13906" width="12.6640625" style="295" customWidth="1"/>
    <col min="13907" max="14078" width="9.109375" style="295"/>
    <col min="14079" max="14079" width="17.88671875" style="295" customWidth="1"/>
    <col min="14080" max="14080" width="9.44140625" style="295" bestFit="1" customWidth="1"/>
    <col min="14081" max="14081" width="3.6640625" style="295" customWidth="1"/>
    <col min="14082" max="14082" width="10.6640625" style="295" customWidth="1"/>
    <col min="14083" max="14083" width="3.6640625" style="295" customWidth="1"/>
    <col min="14084" max="14084" width="10.6640625" style="295" customWidth="1"/>
    <col min="14085" max="14085" width="3.6640625" style="295" customWidth="1"/>
    <col min="14086" max="14086" width="10.6640625" style="295" customWidth="1"/>
    <col min="14087" max="14087" width="3.6640625" style="295" customWidth="1"/>
    <col min="14088" max="14088" width="6.88671875" style="295" customWidth="1"/>
    <col min="14089" max="14089" width="3.6640625" style="295" customWidth="1"/>
    <col min="14090" max="14090" width="10.6640625" style="295" customWidth="1"/>
    <col min="14091" max="14093" width="3.6640625" style="295" customWidth="1"/>
    <col min="14094" max="14094" width="10.6640625" style="295" customWidth="1"/>
    <col min="14095" max="14095" width="3.6640625" style="295" customWidth="1"/>
    <col min="14096" max="14096" width="10.6640625" style="295" customWidth="1"/>
    <col min="14097" max="14097" width="3.6640625" style="295" customWidth="1"/>
    <col min="14098" max="14098" width="10.6640625" style="295" customWidth="1"/>
    <col min="14099" max="14099" width="3.6640625" style="295" customWidth="1"/>
    <col min="14100" max="14100" width="10.6640625" style="295" customWidth="1"/>
    <col min="14101" max="14101" width="3.6640625" style="295" customWidth="1"/>
    <col min="14102" max="14102" width="10.6640625" style="295" customWidth="1"/>
    <col min="14103" max="14103" width="3.6640625" style="295" customWidth="1"/>
    <col min="14104" max="14104" width="10.6640625" style="295" customWidth="1"/>
    <col min="14105" max="14105" width="3.6640625" style="295" customWidth="1"/>
    <col min="14106" max="14106" width="4.6640625" style="295" customWidth="1"/>
    <col min="14107" max="14107" width="7.6640625" style="295" customWidth="1"/>
    <col min="14108" max="14108" width="1.6640625" style="295" customWidth="1"/>
    <col min="14109" max="14109" width="7.6640625" style="295" customWidth="1"/>
    <col min="14110" max="14110" width="1.6640625" style="295" customWidth="1"/>
    <col min="14111" max="14111" width="7.6640625" style="295" customWidth="1"/>
    <col min="14112" max="14112" width="1.6640625" style="295" customWidth="1"/>
    <col min="14113" max="14113" width="7.6640625" style="295" customWidth="1"/>
    <col min="14114" max="14114" width="1.6640625" style="295" customWidth="1"/>
    <col min="14115" max="14115" width="4.6640625" style="295" customWidth="1"/>
    <col min="14116" max="14116" width="1.6640625" style="295" customWidth="1"/>
    <col min="14117" max="14117" width="4.6640625" style="295" customWidth="1"/>
    <col min="14118" max="14118" width="1.6640625" style="295" customWidth="1"/>
    <col min="14119" max="14119" width="7.6640625" style="295" customWidth="1"/>
    <col min="14120" max="14120" width="1.6640625" style="295" customWidth="1"/>
    <col min="14121" max="14121" width="7.6640625" style="295" customWidth="1"/>
    <col min="14122" max="14123" width="1.6640625" style="295" customWidth="1"/>
    <col min="14124" max="14124" width="5.6640625" style="295" customWidth="1"/>
    <col min="14125" max="14125" width="9.6640625" style="295" customWidth="1"/>
    <col min="14126" max="14126" width="1.6640625" style="295" customWidth="1"/>
    <col min="14127" max="14127" width="9.6640625" style="295" customWidth="1"/>
    <col min="14128" max="14128" width="1.6640625" style="295" customWidth="1"/>
    <col min="14129" max="14129" width="9.6640625" style="295" customWidth="1"/>
    <col min="14130" max="14130" width="1.6640625" style="295" customWidth="1"/>
    <col min="14131" max="14131" width="9.6640625" style="295" customWidth="1"/>
    <col min="14132" max="14132" width="1.6640625" style="295" customWidth="1"/>
    <col min="14133" max="14133" width="8.6640625" style="295" customWidth="1"/>
    <col min="14134" max="14134" width="1.6640625" style="295" customWidth="1"/>
    <col min="14135" max="14135" width="8.6640625" style="295" customWidth="1"/>
    <col min="14136" max="14137" width="1.6640625" style="295" customWidth="1"/>
    <col min="14138" max="14138" width="3.6640625" style="295" customWidth="1"/>
    <col min="14139" max="14139" width="10.6640625" style="295" customWidth="1"/>
    <col min="14140" max="14140" width="1.6640625" style="295" customWidth="1"/>
    <col min="14141" max="14141" width="10.6640625" style="295" customWidth="1"/>
    <col min="14142" max="14142" width="1.6640625" style="295" customWidth="1"/>
    <col min="14143" max="14143" width="10.6640625" style="295" customWidth="1"/>
    <col min="14144" max="14144" width="1.6640625" style="295" customWidth="1"/>
    <col min="14145" max="14145" width="4.6640625" style="295" customWidth="1"/>
    <col min="14146" max="14158" width="9.109375" style="295"/>
    <col min="14159" max="14159" width="18.44140625" style="295" bestFit="1" customWidth="1"/>
    <col min="14160" max="14160" width="9.109375" style="295"/>
    <col min="14161" max="14161" width="2.6640625" style="295" customWidth="1"/>
    <col min="14162" max="14162" width="12.6640625" style="295" customWidth="1"/>
    <col min="14163" max="14334" width="9.109375" style="295"/>
    <col min="14335" max="14335" width="17.88671875" style="295" customWidth="1"/>
    <col min="14336" max="14336" width="9.44140625" style="295" bestFit="1" customWidth="1"/>
    <col min="14337" max="14337" width="3.6640625" style="295" customWidth="1"/>
    <col min="14338" max="14338" width="10.6640625" style="295" customWidth="1"/>
    <col min="14339" max="14339" width="3.6640625" style="295" customWidth="1"/>
    <col min="14340" max="14340" width="10.6640625" style="295" customWidth="1"/>
    <col min="14341" max="14341" width="3.6640625" style="295" customWidth="1"/>
    <col min="14342" max="14342" width="10.6640625" style="295" customWidth="1"/>
    <col min="14343" max="14343" width="3.6640625" style="295" customWidth="1"/>
    <col min="14344" max="14344" width="6.88671875" style="295" customWidth="1"/>
    <col min="14345" max="14345" width="3.6640625" style="295" customWidth="1"/>
    <col min="14346" max="14346" width="10.6640625" style="295" customWidth="1"/>
    <col min="14347" max="14349" width="3.6640625" style="295" customWidth="1"/>
    <col min="14350" max="14350" width="10.6640625" style="295" customWidth="1"/>
    <col min="14351" max="14351" width="3.6640625" style="295" customWidth="1"/>
    <col min="14352" max="14352" width="10.6640625" style="295" customWidth="1"/>
    <col min="14353" max="14353" width="3.6640625" style="295" customWidth="1"/>
    <col min="14354" max="14354" width="10.6640625" style="295" customWidth="1"/>
    <col min="14355" max="14355" width="3.6640625" style="295" customWidth="1"/>
    <col min="14356" max="14356" width="10.6640625" style="295" customWidth="1"/>
    <col min="14357" max="14357" width="3.6640625" style="295" customWidth="1"/>
    <col min="14358" max="14358" width="10.6640625" style="295" customWidth="1"/>
    <col min="14359" max="14359" width="3.6640625" style="295" customWidth="1"/>
    <col min="14360" max="14360" width="10.6640625" style="295" customWidth="1"/>
    <col min="14361" max="14361" width="3.6640625" style="295" customWidth="1"/>
    <col min="14362" max="14362" width="4.6640625" style="295" customWidth="1"/>
    <col min="14363" max="14363" width="7.6640625" style="295" customWidth="1"/>
    <col min="14364" max="14364" width="1.6640625" style="295" customWidth="1"/>
    <col min="14365" max="14365" width="7.6640625" style="295" customWidth="1"/>
    <col min="14366" max="14366" width="1.6640625" style="295" customWidth="1"/>
    <col min="14367" max="14367" width="7.6640625" style="295" customWidth="1"/>
    <col min="14368" max="14368" width="1.6640625" style="295" customWidth="1"/>
    <col min="14369" max="14369" width="7.6640625" style="295" customWidth="1"/>
    <col min="14370" max="14370" width="1.6640625" style="295" customWidth="1"/>
    <col min="14371" max="14371" width="4.6640625" style="295" customWidth="1"/>
    <col min="14372" max="14372" width="1.6640625" style="295" customWidth="1"/>
    <col min="14373" max="14373" width="4.6640625" style="295" customWidth="1"/>
    <col min="14374" max="14374" width="1.6640625" style="295" customWidth="1"/>
    <col min="14375" max="14375" width="7.6640625" style="295" customWidth="1"/>
    <col min="14376" max="14376" width="1.6640625" style="295" customWidth="1"/>
    <col min="14377" max="14377" width="7.6640625" style="295" customWidth="1"/>
    <col min="14378" max="14379" width="1.6640625" style="295" customWidth="1"/>
    <col min="14380" max="14380" width="5.6640625" style="295" customWidth="1"/>
    <col min="14381" max="14381" width="9.6640625" style="295" customWidth="1"/>
    <col min="14382" max="14382" width="1.6640625" style="295" customWidth="1"/>
    <col min="14383" max="14383" width="9.6640625" style="295" customWidth="1"/>
    <col min="14384" max="14384" width="1.6640625" style="295" customWidth="1"/>
    <col min="14385" max="14385" width="9.6640625" style="295" customWidth="1"/>
    <col min="14386" max="14386" width="1.6640625" style="295" customWidth="1"/>
    <col min="14387" max="14387" width="9.6640625" style="295" customWidth="1"/>
    <col min="14388" max="14388" width="1.6640625" style="295" customWidth="1"/>
    <col min="14389" max="14389" width="8.6640625" style="295" customWidth="1"/>
    <col min="14390" max="14390" width="1.6640625" style="295" customWidth="1"/>
    <col min="14391" max="14391" width="8.6640625" style="295" customWidth="1"/>
    <col min="14392" max="14393" width="1.6640625" style="295" customWidth="1"/>
    <col min="14394" max="14394" width="3.6640625" style="295" customWidth="1"/>
    <col min="14395" max="14395" width="10.6640625" style="295" customWidth="1"/>
    <col min="14396" max="14396" width="1.6640625" style="295" customWidth="1"/>
    <col min="14397" max="14397" width="10.6640625" style="295" customWidth="1"/>
    <col min="14398" max="14398" width="1.6640625" style="295" customWidth="1"/>
    <col min="14399" max="14399" width="10.6640625" style="295" customWidth="1"/>
    <col min="14400" max="14400" width="1.6640625" style="295" customWidth="1"/>
    <col min="14401" max="14401" width="4.6640625" style="295" customWidth="1"/>
    <col min="14402" max="14414" width="9.109375" style="295"/>
    <col min="14415" max="14415" width="18.44140625" style="295" bestFit="1" customWidth="1"/>
    <col min="14416" max="14416" width="9.109375" style="295"/>
    <col min="14417" max="14417" width="2.6640625" style="295" customWidth="1"/>
    <col min="14418" max="14418" width="12.6640625" style="295" customWidth="1"/>
    <col min="14419" max="14590" width="9.109375" style="295"/>
    <col min="14591" max="14591" width="17.88671875" style="295" customWidth="1"/>
    <col min="14592" max="14592" width="9.44140625" style="295" bestFit="1" customWidth="1"/>
    <col min="14593" max="14593" width="3.6640625" style="295" customWidth="1"/>
    <col min="14594" max="14594" width="10.6640625" style="295" customWidth="1"/>
    <col min="14595" max="14595" width="3.6640625" style="295" customWidth="1"/>
    <col min="14596" max="14596" width="10.6640625" style="295" customWidth="1"/>
    <col min="14597" max="14597" width="3.6640625" style="295" customWidth="1"/>
    <col min="14598" max="14598" width="10.6640625" style="295" customWidth="1"/>
    <col min="14599" max="14599" width="3.6640625" style="295" customWidth="1"/>
    <col min="14600" max="14600" width="6.88671875" style="295" customWidth="1"/>
    <col min="14601" max="14601" width="3.6640625" style="295" customWidth="1"/>
    <col min="14602" max="14602" width="10.6640625" style="295" customWidth="1"/>
    <col min="14603" max="14605" width="3.6640625" style="295" customWidth="1"/>
    <col min="14606" max="14606" width="10.6640625" style="295" customWidth="1"/>
    <col min="14607" max="14607" width="3.6640625" style="295" customWidth="1"/>
    <col min="14608" max="14608" width="10.6640625" style="295" customWidth="1"/>
    <col min="14609" max="14609" width="3.6640625" style="295" customWidth="1"/>
    <col min="14610" max="14610" width="10.6640625" style="295" customWidth="1"/>
    <col min="14611" max="14611" width="3.6640625" style="295" customWidth="1"/>
    <col min="14612" max="14612" width="10.6640625" style="295" customWidth="1"/>
    <col min="14613" max="14613" width="3.6640625" style="295" customWidth="1"/>
    <col min="14614" max="14614" width="10.6640625" style="295" customWidth="1"/>
    <col min="14615" max="14615" width="3.6640625" style="295" customWidth="1"/>
    <col min="14616" max="14616" width="10.6640625" style="295" customWidth="1"/>
    <col min="14617" max="14617" width="3.6640625" style="295" customWidth="1"/>
    <col min="14618" max="14618" width="4.6640625" style="295" customWidth="1"/>
    <col min="14619" max="14619" width="7.6640625" style="295" customWidth="1"/>
    <col min="14620" max="14620" width="1.6640625" style="295" customWidth="1"/>
    <col min="14621" max="14621" width="7.6640625" style="295" customWidth="1"/>
    <col min="14622" max="14622" width="1.6640625" style="295" customWidth="1"/>
    <col min="14623" max="14623" width="7.6640625" style="295" customWidth="1"/>
    <col min="14624" max="14624" width="1.6640625" style="295" customWidth="1"/>
    <col min="14625" max="14625" width="7.6640625" style="295" customWidth="1"/>
    <col min="14626" max="14626" width="1.6640625" style="295" customWidth="1"/>
    <col min="14627" max="14627" width="4.6640625" style="295" customWidth="1"/>
    <col min="14628" max="14628" width="1.6640625" style="295" customWidth="1"/>
    <col min="14629" max="14629" width="4.6640625" style="295" customWidth="1"/>
    <col min="14630" max="14630" width="1.6640625" style="295" customWidth="1"/>
    <col min="14631" max="14631" width="7.6640625" style="295" customWidth="1"/>
    <col min="14632" max="14632" width="1.6640625" style="295" customWidth="1"/>
    <col min="14633" max="14633" width="7.6640625" style="295" customWidth="1"/>
    <col min="14634" max="14635" width="1.6640625" style="295" customWidth="1"/>
    <col min="14636" max="14636" width="5.6640625" style="295" customWidth="1"/>
    <col min="14637" max="14637" width="9.6640625" style="295" customWidth="1"/>
    <col min="14638" max="14638" width="1.6640625" style="295" customWidth="1"/>
    <col min="14639" max="14639" width="9.6640625" style="295" customWidth="1"/>
    <col min="14640" max="14640" width="1.6640625" style="295" customWidth="1"/>
    <col min="14641" max="14641" width="9.6640625" style="295" customWidth="1"/>
    <col min="14642" max="14642" width="1.6640625" style="295" customWidth="1"/>
    <col min="14643" max="14643" width="9.6640625" style="295" customWidth="1"/>
    <col min="14644" max="14644" width="1.6640625" style="295" customWidth="1"/>
    <col min="14645" max="14645" width="8.6640625" style="295" customWidth="1"/>
    <col min="14646" max="14646" width="1.6640625" style="295" customWidth="1"/>
    <col min="14647" max="14647" width="8.6640625" style="295" customWidth="1"/>
    <col min="14648" max="14649" width="1.6640625" style="295" customWidth="1"/>
    <col min="14650" max="14650" width="3.6640625" style="295" customWidth="1"/>
    <col min="14651" max="14651" width="10.6640625" style="295" customWidth="1"/>
    <col min="14652" max="14652" width="1.6640625" style="295" customWidth="1"/>
    <col min="14653" max="14653" width="10.6640625" style="295" customWidth="1"/>
    <col min="14654" max="14654" width="1.6640625" style="295" customWidth="1"/>
    <col min="14655" max="14655" width="10.6640625" style="295" customWidth="1"/>
    <col min="14656" max="14656" width="1.6640625" style="295" customWidth="1"/>
    <col min="14657" max="14657" width="4.6640625" style="295" customWidth="1"/>
    <col min="14658" max="14670" width="9.109375" style="295"/>
    <col min="14671" max="14671" width="18.44140625" style="295" bestFit="1" customWidth="1"/>
    <col min="14672" max="14672" width="9.109375" style="295"/>
    <col min="14673" max="14673" width="2.6640625" style="295" customWidth="1"/>
    <col min="14674" max="14674" width="12.6640625" style="295" customWidth="1"/>
    <col min="14675" max="14846" width="9.109375" style="295"/>
    <col min="14847" max="14847" width="17.88671875" style="295" customWidth="1"/>
    <col min="14848" max="14848" width="9.44140625" style="295" bestFit="1" customWidth="1"/>
    <col min="14849" max="14849" width="3.6640625" style="295" customWidth="1"/>
    <col min="14850" max="14850" width="10.6640625" style="295" customWidth="1"/>
    <col min="14851" max="14851" width="3.6640625" style="295" customWidth="1"/>
    <col min="14852" max="14852" width="10.6640625" style="295" customWidth="1"/>
    <col min="14853" max="14853" width="3.6640625" style="295" customWidth="1"/>
    <col min="14854" max="14854" width="10.6640625" style="295" customWidth="1"/>
    <col min="14855" max="14855" width="3.6640625" style="295" customWidth="1"/>
    <col min="14856" max="14856" width="6.88671875" style="295" customWidth="1"/>
    <col min="14857" max="14857" width="3.6640625" style="295" customWidth="1"/>
    <col min="14858" max="14858" width="10.6640625" style="295" customWidth="1"/>
    <col min="14859" max="14861" width="3.6640625" style="295" customWidth="1"/>
    <col min="14862" max="14862" width="10.6640625" style="295" customWidth="1"/>
    <col min="14863" max="14863" width="3.6640625" style="295" customWidth="1"/>
    <col min="14864" max="14864" width="10.6640625" style="295" customWidth="1"/>
    <col min="14865" max="14865" width="3.6640625" style="295" customWidth="1"/>
    <col min="14866" max="14866" width="10.6640625" style="295" customWidth="1"/>
    <col min="14867" max="14867" width="3.6640625" style="295" customWidth="1"/>
    <col min="14868" max="14868" width="10.6640625" style="295" customWidth="1"/>
    <col min="14869" max="14869" width="3.6640625" style="295" customWidth="1"/>
    <col min="14870" max="14870" width="10.6640625" style="295" customWidth="1"/>
    <col min="14871" max="14871" width="3.6640625" style="295" customWidth="1"/>
    <col min="14872" max="14872" width="10.6640625" style="295" customWidth="1"/>
    <col min="14873" max="14873" width="3.6640625" style="295" customWidth="1"/>
    <col min="14874" max="14874" width="4.6640625" style="295" customWidth="1"/>
    <col min="14875" max="14875" width="7.6640625" style="295" customWidth="1"/>
    <col min="14876" max="14876" width="1.6640625" style="295" customWidth="1"/>
    <col min="14877" max="14877" width="7.6640625" style="295" customWidth="1"/>
    <col min="14878" max="14878" width="1.6640625" style="295" customWidth="1"/>
    <col min="14879" max="14879" width="7.6640625" style="295" customWidth="1"/>
    <col min="14880" max="14880" width="1.6640625" style="295" customWidth="1"/>
    <col min="14881" max="14881" width="7.6640625" style="295" customWidth="1"/>
    <col min="14882" max="14882" width="1.6640625" style="295" customWidth="1"/>
    <col min="14883" max="14883" width="4.6640625" style="295" customWidth="1"/>
    <col min="14884" max="14884" width="1.6640625" style="295" customWidth="1"/>
    <col min="14885" max="14885" width="4.6640625" style="295" customWidth="1"/>
    <col min="14886" max="14886" width="1.6640625" style="295" customWidth="1"/>
    <col min="14887" max="14887" width="7.6640625" style="295" customWidth="1"/>
    <col min="14888" max="14888" width="1.6640625" style="295" customWidth="1"/>
    <col min="14889" max="14889" width="7.6640625" style="295" customWidth="1"/>
    <col min="14890" max="14891" width="1.6640625" style="295" customWidth="1"/>
    <col min="14892" max="14892" width="5.6640625" style="295" customWidth="1"/>
    <col min="14893" max="14893" width="9.6640625" style="295" customWidth="1"/>
    <col min="14894" max="14894" width="1.6640625" style="295" customWidth="1"/>
    <col min="14895" max="14895" width="9.6640625" style="295" customWidth="1"/>
    <col min="14896" max="14896" width="1.6640625" style="295" customWidth="1"/>
    <col min="14897" max="14897" width="9.6640625" style="295" customWidth="1"/>
    <col min="14898" max="14898" width="1.6640625" style="295" customWidth="1"/>
    <col min="14899" max="14899" width="9.6640625" style="295" customWidth="1"/>
    <col min="14900" max="14900" width="1.6640625" style="295" customWidth="1"/>
    <col min="14901" max="14901" width="8.6640625" style="295" customWidth="1"/>
    <col min="14902" max="14902" width="1.6640625" style="295" customWidth="1"/>
    <col min="14903" max="14903" width="8.6640625" style="295" customWidth="1"/>
    <col min="14904" max="14905" width="1.6640625" style="295" customWidth="1"/>
    <col min="14906" max="14906" width="3.6640625" style="295" customWidth="1"/>
    <col min="14907" max="14907" width="10.6640625" style="295" customWidth="1"/>
    <col min="14908" max="14908" width="1.6640625" style="295" customWidth="1"/>
    <col min="14909" max="14909" width="10.6640625" style="295" customWidth="1"/>
    <col min="14910" max="14910" width="1.6640625" style="295" customWidth="1"/>
    <col min="14911" max="14911" width="10.6640625" style="295" customWidth="1"/>
    <col min="14912" max="14912" width="1.6640625" style="295" customWidth="1"/>
    <col min="14913" max="14913" width="4.6640625" style="295" customWidth="1"/>
    <col min="14914" max="14926" width="9.109375" style="295"/>
    <col min="14927" max="14927" width="18.44140625" style="295" bestFit="1" customWidth="1"/>
    <col min="14928" max="14928" width="9.109375" style="295"/>
    <col min="14929" max="14929" width="2.6640625" style="295" customWidth="1"/>
    <col min="14930" max="14930" width="12.6640625" style="295" customWidth="1"/>
    <col min="14931" max="15102" width="9.109375" style="295"/>
    <col min="15103" max="15103" width="17.88671875" style="295" customWidth="1"/>
    <col min="15104" max="15104" width="9.44140625" style="295" bestFit="1" customWidth="1"/>
    <col min="15105" max="15105" width="3.6640625" style="295" customWidth="1"/>
    <col min="15106" max="15106" width="10.6640625" style="295" customWidth="1"/>
    <col min="15107" max="15107" width="3.6640625" style="295" customWidth="1"/>
    <col min="15108" max="15108" width="10.6640625" style="295" customWidth="1"/>
    <col min="15109" max="15109" width="3.6640625" style="295" customWidth="1"/>
    <col min="15110" max="15110" width="10.6640625" style="295" customWidth="1"/>
    <col min="15111" max="15111" width="3.6640625" style="295" customWidth="1"/>
    <col min="15112" max="15112" width="6.88671875" style="295" customWidth="1"/>
    <col min="15113" max="15113" width="3.6640625" style="295" customWidth="1"/>
    <col min="15114" max="15114" width="10.6640625" style="295" customWidth="1"/>
    <col min="15115" max="15117" width="3.6640625" style="295" customWidth="1"/>
    <col min="15118" max="15118" width="10.6640625" style="295" customWidth="1"/>
    <col min="15119" max="15119" width="3.6640625" style="295" customWidth="1"/>
    <col min="15120" max="15120" width="10.6640625" style="295" customWidth="1"/>
    <col min="15121" max="15121" width="3.6640625" style="295" customWidth="1"/>
    <col min="15122" max="15122" width="10.6640625" style="295" customWidth="1"/>
    <col min="15123" max="15123" width="3.6640625" style="295" customWidth="1"/>
    <col min="15124" max="15124" width="10.6640625" style="295" customWidth="1"/>
    <col min="15125" max="15125" width="3.6640625" style="295" customWidth="1"/>
    <col min="15126" max="15126" width="10.6640625" style="295" customWidth="1"/>
    <col min="15127" max="15127" width="3.6640625" style="295" customWidth="1"/>
    <col min="15128" max="15128" width="10.6640625" style="295" customWidth="1"/>
    <col min="15129" max="15129" width="3.6640625" style="295" customWidth="1"/>
    <col min="15130" max="15130" width="4.6640625" style="295" customWidth="1"/>
    <col min="15131" max="15131" width="7.6640625" style="295" customWidth="1"/>
    <col min="15132" max="15132" width="1.6640625" style="295" customWidth="1"/>
    <col min="15133" max="15133" width="7.6640625" style="295" customWidth="1"/>
    <col min="15134" max="15134" width="1.6640625" style="295" customWidth="1"/>
    <col min="15135" max="15135" width="7.6640625" style="295" customWidth="1"/>
    <col min="15136" max="15136" width="1.6640625" style="295" customWidth="1"/>
    <col min="15137" max="15137" width="7.6640625" style="295" customWidth="1"/>
    <col min="15138" max="15138" width="1.6640625" style="295" customWidth="1"/>
    <col min="15139" max="15139" width="4.6640625" style="295" customWidth="1"/>
    <col min="15140" max="15140" width="1.6640625" style="295" customWidth="1"/>
    <col min="15141" max="15141" width="4.6640625" style="295" customWidth="1"/>
    <col min="15142" max="15142" width="1.6640625" style="295" customWidth="1"/>
    <col min="15143" max="15143" width="7.6640625" style="295" customWidth="1"/>
    <col min="15144" max="15144" width="1.6640625" style="295" customWidth="1"/>
    <col min="15145" max="15145" width="7.6640625" style="295" customWidth="1"/>
    <col min="15146" max="15147" width="1.6640625" style="295" customWidth="1"/>
    <col min="15148" max="15148" width="5.6640625" style="295" customWidth="1"/>
    <col min="15149" max="15149" width="9.6640625" style="295" customWidth="1"/>
    <col min="15150" max="15150" width="1.6640625" style="295" customWidth="1"/>
    <col min="15151" max="15151" width="9.6640625" style="295" customWidth="1"/>
    <col min="15152" max="15152" width="1.6640625" style="295" customWidth="1"/>
    <col min="15153" max="15153" width="9.6640625" style="295" customWidth="1"/>
    <col min="15154" max="15154" width="1.6640625" style="295" customWidth="1"/>
    <col min="15155" max="15155" width="9.6640625" style="295" customWidth="1"/>
    <col min="15156" max="15156" width="1.6640625" style="295" customWidth="1"/>
    <col min="15157" max="15157" width="8.6640625" style="295" customWidth="1"/>
    <col min="15158" max="15158" width="1.6640625" style="295" customWidth="1"/>
    <col min="15159" max="15159" width="8.6640625" style="295" customWidth="1"/>
    <col min="15160" max="15161" width="1.6640625" style="295" customWidth="1"/>
    <col min="15162" max="15162" width="3.6640625" style="295" customWidth="1"/>
    <col min="15163" max="15163" width="10.6640625" style="295" customWidth="1"/>
    <col min="15164" max="15164" width="1.6640625" style="295" customWidth="1"/>
    <col min="15165" max="15165" width="10.6640625" style="295" customWidth="1"/>
    <col min="15166" max="15166" width="1.6640625" style="295" customWidth="1"/>
    <col min="15167" max="15167" width="10.6640625" style="295" customWidth="1"/>
    <col min="15168" max="15168" width="1.6640625" style="295" customWidth="1"/>
    <col min="15169" max="15169" width="4.6640625" style="295" customWidth="1"/>
    <col min="15170" max="15182" width="9.109375" style="295"/>
    <col min="15183" max="15183" width="18.44140625" style="295" bestFit="1" customWidth="1"/>
    <col min="15184" max="15184" width="9.109375" style="295"/>
    <col min="15185" max="15185" width="2.6640625" style="295" customWidth="1"/>
    <col min="15186" max="15186" width="12.6640625" style="295" customWidth="1"/>
    <col min="15187" max="15358" width="9.109375" style="295"/>
    <col min="15359" max="15359" width="17.88671875" style="295" customWidth="1"/>
    <col min="15360" max="15360" width="9.44140625" style="295" bestFit="1" customWidth="1"/>
    <col min="15361" max="15361" width="3.6640625" style="295" customWidth="1"/>
    <col min="15362" max="15362" width="10.6640625" style="295" customWidth="1"/>
    <col min="15363" max="15363" width="3.6640625" style="295" customWidth="1"/>
    <col min="15364" max="15364" width="10.6640625" style="295" customWidth="1"/>
    <col min="15365" max="15365" width="3.6640625" style="295" customWidth="1"/>
    <col min="15366" max="15366" width="10.6640625" style="295" customWidth="1"/>
    <col min="15367" max="15367" width="3.6640625" style="295" customWidth="1"/>
    <col min="15368" max="15368" width="6.88671875" style="295" customWidth="1"/>
    <col min="15369" max="15369" width="3.6640625" style="295" customWidth="1"/>
    <col min="15370" max="15370" width="10.6640625" style="295" customWidth="1"/>
    <col min="15371" max="15373" width="3.6640625" style="295" customWidth="1"/>
    <col min="15374" max="15374" width="10.6640625" style="295" customWidth="1"/>
    <col min="15375" max="15375" width="3.6640625" style="295" customWidth="1"/>
    <col min="15376" max="15376" width="10.6640625" style="295" customWidth="1"/>
    <col min="15377" max="15377" width="3.6640625" style="295" customWidth="1"/>
    <col min="15378" max="15378" width="10.6640625" style="295" customWidth="1"/>
    <col min="15379" max="15379" width="3.6640625" style="295" customWidth="1"/>
    <col min="15380" max="15380" width="10.6640625" style="295" customWidth="1"/>
    <col min="15381" max="15381" width="3.6640625" style="295" customWidth="1"/>
    <col min="15382" max="15382" width="10.6640625" style="295" customWidth="1"/>
    <col min="15383" max="15383" width="3.6640625" style="295" customWidth="1"/>
    <col min="15384" max="15384" width="10.6640625" style="295" customWidth="1"/>
    <col min="15385" max="15385" width="3.6640625" style="295" customWidth="1"/>
    <col min="15386" max="15386" width="4.6640625" style="295" customWidth="1"/>
    <col min="15387" max="15387" width="7.6640625" style="295" customWidth="1"/>
    <col min="15388" max="15388" width="1.6640625" style="295" customWidth="1"/>
    <col min="15389" max="15389" width="7.6640625" style="295" customWidth="1"/>
    <col min="15390" max="15390" width="1.6640625" style="295" customWidth="1"/>
    <col min="15391" max="15391" width="7.6640625" style="295" customWidth="1"/>
    <col min="15392" max="15392" width="1.6640625" style="295" customWidth="1"/>
    <col min="15393" max="15393" width="7.6640625" style="295" customWidth="1"/>
    <col min="15394" max="15394" width="1.6640625" style="295" customWidth="1"/>
    <col min="15395" max="15395" width="4.6640625" style="295" customWidth="1"/>
    <col min="15396" max="15396" width="1.6640625" style="295" customWidth="1"/>
    <col min="15397" max="15397" width="4.6640625" style="295" customWidth="1"/>
    <col min="15398" max="15398" width="1.6640625" style="295" customWidth="1"/>
    <col min="15399" max="15399" width="7.6640625" style="295" customWidth="1"/>
    <col min="15400" max="15400" width="1.6640625" style="295" customWidth="1"/>
    <col min="15401" max="15401" width="7.6640625" style="295" customWidth="1"/>
    <col min="15402" max="15403" width="1.6640625" style="295" customWidth="1"/>
    <col min="15404" max="15404" width="5.6640625" style="295" customWidth="1"/>
    <col min="15405" max="15405" width="9.6640625" style="295" customWidth="1"/>
    <col min="15406" max="15406" width="1.6640625" style="295" customWidth="1"/>
    <col min="15407" max="15407" width="9.6640625" style="295" customWidth="1"/>
    <col min="15408" max="15408" width="1.6640625" style="295" customWidth="1"/>
    <col min="15409" max="15409" width="9.6640625" style="295" customWidth="1"/>
    <col min="15410" max="15410" width="1.6640625" style="295" customWidth="1"/>
    <col min="15411" max="15411" width="9.6640625" style="295" customWidth="1"/>
    <col min="15412" max="15412" width="1.6640625" style="295" customWidth="1"/>
    <col min="15413" max="15413" width="8.6640625" style="295" customWidth="1"/>
    <col min="15414" max="15414" width="1.6640625" style="295" customWidth="1"/>
    <col min="15415" max="15415" width="8.6640625" style="295" customWidth="1"/>
    <col min="15416" max="15417" width="1.6640625" style="295" customWidth="1"/>
    <col min="15418" max="15418" width="3.6640625" style="295" customWidth="1"/>
    <col min="15419" max="15419" width="10.6640625" style="295" customWidth="1"/>
    <col min="15420" max="15420" width="1.6640625" style="295" customWidth="1"/>
    <col min="15421" max="15421" width="10.6640625" style="295" customWidth="1"/>
    <col min="15422" max="15422" width="1.6640625" style="295" customWidth="1"/>
    <col min="15423" max="15423" width="10.6640625" style="295" customWidth="1"/>
    <col min="15424" max="15424" width="1.6640625" style="295" customWidth="1"/>
    <col min="15425" max="15425" width="4.6640625" style="295" customWidth="1"/>
    <col min="15426" max="15438" width="9.109375" style="295"/>
    <col min="15439" max="15439" width="18.44140625" style="295" bestFit="1" customWidth="1"/>
    <col min="15440" max="15440" width="9.109375" style="295"/>
    <col min="15441" max="15441" width="2.6640625" style="295" customWidth="1"/>
    <col min="15442" max="15442" width="12.6640625" style="295" customWidth="1"/>
    <col min="15443" max="15614" width="9.109375" style="295"/>
    <col min="15615" max="15615" width="17.88671875" style="295" customWidth="1"/>
    <col min="15616" max="15616" width="9.44140625" style="295" bestFit="1" customWidth="1"/>
    <col min="15617" max="15617" width="3.6640625" style="295" customWidth="1"/>
    <col min="15618" max="15618" width="10.6640625" style="295" customWidth="1"/>
    <col min="15619" max="15619" width="3.6640625" style="295" customWidth="1"/>
    <col min="15620" max="15620" width="10.6640625" style="295" customWidth="1"/>
    <col min="15621" max="15621" width="3.6640625" style="295" customWidth="1"/>
    <col min="15622" max="15622" width="10.6640625" style="295" customWidth="1"/>
    <col min="15623" max="15623" width="3.6640625" style="295" customWidth="1"/>
    <col min="15624" max="15624" width="6.88671875" style="295" customWidth="1"/>
    <col min="15625" max="15625" width="3.6640625" style="295" customWidth="1"/>
    <col min="15626" max="15626" width="10.6640625" style="295" customWidth="1"/>
    <col min="15627" max="15629" width="3.6640625" style="295" customWidth="1"/>
    <col min="15630" max="15630" width="10.6640625" style="295" customWidth="1"/>
    <col min="15631" max="15631" width="3.6640625" style="295" customWidth="1"/>
    <col min="15632" max="15632" width="10.6640625" style="295" customWidth="1"/>
    <col min="15633" max="15633" width="3.6640625" style="295" customWidth="1"/>
    <col min="15634" max="15634" width="10.6640625" style="295" customWidth="1"/>
    <col min="15635" max="15635" width="3.6640625" style="295" customWidth="1"/>
    <col min="15636" max="15636" width="10.6640625" style="295" customWidth="1"/>
    <col min="15637" max="15637" width="3.6640625" style="295" customWidth="1"/>
    <col min="15638" max="15638" width="10.6640625" style="295" customWidth="1"/>
    <col min="15639" max="15639" width="3.6640625" style="295" customWidth="1"/>
    <col min="15640" max="15640" width="10.6640625" style="295" customWidth="1"/>
    <col min="15641" max="15641" width="3.6640625" style="295" customWidth="1"/>
    <col min="15642" max="15642" width="4.6640625" style="295" customWidth="1"/>
    <col min="15643" max="15643" width="7.6640625" style="295" customWidth="1"/>
    <col min="15644" max="15644" width="1.6640625" style="295" customWidth="1"/>
    <col min="15645" max="15645" width="7.6640625" style="295" customWidth="1"/>
    <col min="15646" max="15646" width="1.6640625" style="295" customWidth="1"/>
    <col min="15647" max="15647" width="7.6640625" style="295" customWidth="1"/>
    <col min="15648" max="15648" width="1.6640625" style="295" customWidth="1"/>
    <col min="15649" max="15649" width="7.6640625" style="295" customWidth="1"/>
    <col min="15650" max="15650" width="1.6640625" style="295" customWidth="1"/>
    <col min="15651" max="15651" width="4.6640625" style="295" customWidth="1"/>
    <col min="15652" max="15652" width="1.6640625" style="295" customWidth="1"/>
    <col min="15653" max="15653" width="4.6640625" style="295" customWidth="1"/>
    <col min="15654" max="15654" width="1.6640625" style="295" customWidth="1"/>
    <col min="15655" max="15655" width="7.6640625" style="295" customWidth="1"/>
    <col min="15656" max="15656" width="1.6640625" style="295" customWidth="1"/>
    <col min="15657" max="15657" width="7.6640625" style="295" customWidth="1"/>
    <col min="15658" max="15659" width="1.6640625" style="295" customWidth="1"/>
    <col min="15660" max="15660" width="5.6640625" style="295" customWidth="1"/>
    <col min="15661" max="15661" width="9.6640625" style="295" customWidth="1"/>
    <col min="15662" max="15662" width="1.6640625" style="295" customWidth="1"/>
    <col min="15663" max="15663" width="9.6640625" style="295" customWidth="1"/>
    <col min="15664" max="15664" width="1.6640625" style="295" customWidth="1"/>
    <col min="15665" max="15665" width="9.6640625" style="295" customWidth="1"/>
    <col min="15666" max="15666" width="1.6640625" style="295" customWidth="1"/>
    <col min="15667" max="15667" width="9.6640625" style="295" customWidth="1"/>
    <col min="15668" max="15668" width="1.6640625" style="295" customWidth="1"/>
    <col min="15669" max="15669" width="8.6640625" style="295" customWidth="1"/>
    <col min="15670" max="15670" width="1.6640625" style="295" customWidth="1"/>
    <col min="15671" max="15671" width="8.6640625" style="295" customWidth="1"/>
    <col min="15672" max="15673" width="1.6640625" style="295" customWidth="1"/>
    <col min="15674" max="15674" width="3.6640625" style="295" customWidth="1"/>
    <col min="15675" max="15675" width="10.6640625" style="295" customWidth="1"/>
    <col min="15676" max="15676" width="1.6640625" style="295" customWidth="1"/>
    <col min="15677" max="15677" width="10.6640625" style="295" customWidth="1"/>
    <col min="15678" max="15678" width="1.6640625" style="295" customWidth="1"/>
    <col min="15679" max="15679" width="10.6640625" style="295" customWidth="1"/>
    <col min="15680" max="15680" width="1.6640625" style="295" customWidth="1"/>
    <col min="15681" max="15681" width="4.6640625" style="295" customWidth="1"/>
    <col min="15682" max="15694" width="9.109375" style="295"/>
    <col min="15695" max="15695" width="18.44140625" style="295" bestFit="1" customWidth="1"/>
    <col min="15696" max="15696" width="9.109375" style="295"/>
    <col min="15697" max="15697" width="2.6640625" style="295" customWidth="1"/>
    <col min="15698" max="15698" width="12.6640625" style="295" customWidth="1"/>
    <col min="15699" max="15870" width="9.109375" style="295"/>
    <col min="15871" max="15871" width="17.88671875" style="295" customWidth="1"/>
    <col min="15872" max="15872" width="9.44140625" style="295" bestFit="1" customWidth="1"/>
    <col min="15873" max="15873" width="3.6640625" style="295" customWidth="1"/>
    <col min="15874" max="15874" width="10.6640625" style="295" customWidth="1"/>
    <col min="15875" max="15875" width="3.6640625" style="295" customWidth="1"/>
    <col min="15876" max="15876" width="10.6640625" style="295" customWidth="1"/>
    <col min="15877" max="15877" width="3.6640625" style="295" customWidth="1"/>
    <col min="15878" max="15878" width="10.6640625" style="295" customWidth="1"/>
    <col min="15879" max="15879" width="3.6640625" style="295" customWidth="1"/>
    <col min="15880" max="15880" width="6.88671875" style="295" customWidth="1"/>
    <col min="15881" max="15881" width="3.6640625" style="295" customWidth="1"/>
    <col min="15882" max="15882" width="10.6640625" style="295" customWidth="1"/>
    <col min="15883" max="15885" width="3.6640625" style="295" customWidth="1"/>
    <col min="15886" max="15886" width="10.6640625" style="295" customWidth="1"/>
    <col min="15887" max="15887" width="3.6640625" style="295" customWidth="1"/>
    <col min="15888" max="15888" width="10.6640625" style="295" customWidth="1"/>
    <col min="15889" max="15889" width="3.6640625" style="295" customWidth="1"/>
    <col min="15890" max="15890" width="10.6640625" style="295" customWidth="1"/>
    <col min="15891" max="15891" width="3.6640625" style="295" customWidth="1"/>
    <col min="15892" max="15892" width="10.6640625" style="295" customWidth="1"/>
    <col min="15893" max="15893" width="3.6640625" style="295" customWidth="1"/>
    <col min="15894" max="15894" width="10.6640625" style="295" customWidth="1"/>
    <col min="15895" max="15895" width="3.6640625" style="295" customWidth="1"/>
    <col min="15896" max="15896" width="10.6640625" style="295" customWidth="1"/>
    <col min="15897" max="15897" width="3.6640625" style="295" customWidth="1"/>
    <col min="15898" max="15898" width="4.6640625" style="295" customWidth="1"/>
    <col min="15899" max="15899" width="7.6640625" style="295" customWidth="1"/>
    <col min="15900" max="15900" width="1.6640625" style="295" customWidth="1"/>
    <col min="15901" max="15901" width="7.6640625" style="295" customWidth="1"/>
    <col min="15902" max="15902" width="1.6640625" style="295" customWidth="1"/>
    <col min="15903" max="15903" width="7.6640625" style="295" customWidth="1"/>
    <col min="15904" max="15904" width="1.6640625" style="295" customWidth="1"/>
    <col min="15905" max="15905" width="7.6640625" style="295" customWidth="1"/>
    <col min="15906" max="15906" width="1.6640625" style="295" customWidth="1"/>
    <col min="15907" max="15907" width="4.6640625" style="295" customWidth="1"/>
    <col min="15908" max="15908" width="1.6640625" style="295" customWidth="1"/>
    <col min="15909" max="15909" width="4.6640625" style="295" customWidth="1"/>
    <col min="15910" max="15910" width="1.6640625" style="295" customWidth="1"/>
    <col min="15911" max="15911" width="7.6640625" style="295" customWidth="1"/>
    <col min="15912" max="15912" width="1.6640625" style="295" customWidth="1"/>
    <col min="15913" max="15913" width="7.6640625" style="295" customWidth="1"/>
    <col min="15914" max="15915" width="1.6640625" style="295" customWidth="1"/>
    <col min="15916" max="15916" width="5.6640625" style="295" customWidth="1"/>
    <col min="15917" max="15917" width="9.6640625" style="295" customWidth="1"/>
    <col min="15918" max="15918" width="1.6640625" style="295" customWidth="1"/>
    <col min="15919" max="15919" width="9.6640625" style="295" customWidth="1"/>
    <col min="15920" max="15920" width="1.6640625" style="295" customWidth="1"/>
    <col min="15921" max="15921" width="9.6640625" style="295" customWidth="1"/>
    <col min="15922" max="15922" width="1.6640625" style="295" customWidth="1"/>
    <col min="15923" max="15923" width="9.6640625" style="295" customWidth="1"/>
    <col min="15924" max="15924" width="1.6640625" style="295" customWidth="1"/>
    <col min="15925" max="15925" width="8.6640625" style="295" customWidth="1"/>
    <col min="15926" max="15926" width="1.6640625" style="295" customWidth="1"/>
    <col min="15927" max="15927" width="8.6640625" style="295" customWidth="1"/>
    <col min="15928" max="15929" width="1.6640625" style="295" customWidth="1"/>
    <col min="15930" max="15930" width="3.6640625" style="295" customWidth="1"/>
    <col min="15931" max="15931" width="10.6640625" style="295" customWidth="1"/>
    <col min="15932" max="15932" width="1.6640625" style="295" customWidth="1"/>
    <col min="15933" max="15933" width="10.6640625" style="295" customWidth="1"/>
    <col min="15934" max="15934" width="1.6640625" style="295" customWidth="1"/>
    <col min="15935" max="15935" width="10.6640625" style="295" customWidth="1"/>
    <col min="15936" max="15936" width="1.6640625" style="295" customWidth="1"/>
    <col min="15937" max="15937" width="4.6640625" style="295" customWidth="1"/>
    <col min="15938" max="15950" width="9.109375" style="295"/>
    <col min="15951" max="15951" width="18.44140625" style="295" bestFit="1" customWidth="1"/>
    <col min="15952" max="15952" width="9.109375" style="295"/>
    <col min="15953" max="15953" width="2.6640625" style="295" customWidth="1"/>
    <col min="15954" max="15954" width="12.6640625" style="295" customWidth="1"/>
    <col min="15955" max="16126" width="9.109375" style="295"/>
    <col min="16127" max="16127" width="17.88671875" style="295" customWidth="1"/>
    <col min="16128" max="16128" width="9.44140625" style="295" bestFit="1" customWidth="1"/>
    <col min="16129" max="16129" width="3.6640625" style="295" customWidth="1"/>
    <col min="16130" max="16130" width="10.6640625" style="295" customWidth="1"/>
    <col min="16131" max="16131" width="3.6640625" style="295" customWidth="1"/>
    <col min="16132" max="16132" width="10.6640625" style="295" customWidth="1"/>
    <col min="16133" max="16133" width="3.6640625" style="295" customWidth="1"/>
    <col min="16134" max="16134" width="10.6640625" style="295" customWidth="1"/>
    <col min="16135" max="16135" width="3.6640625" style="295" customWidth="1"/>
    <col min="16136" max="16136" width="6.88671875" style="295" customWidth="1"/>
    <col min="16137" max="16137" width="3.6640625" style="295" customWidth="1"/>
    <col min="16138" max="16138" width="10.6640625" style="295" customWidth="1"/>
    <col min="16139" max="16141" width="3.6640625" style="295" customWidth="1"/>
    <col min="16142" max="16142" width="10.6640625" style="295" customWidth="1"/>
    <col min="16143" max="16143" width="3.6640625" style="295" customWidth="1"/>
    <col min="16144" max="16144" width="10.6640625" style="295" customWidth="1"/>
    <col min="16145" max="16145" width="3.6640625" style="295" customWidth="1"/>
    <col min="16146" max="16146" width="10.6640625" style="295" customWidth="1"/>
    <col min="16147" max="16147" width="3.6640625" style="295" customWidth="1"/>
    <col min="16148" max="16148" width="10.6640625" style="295" customWidth="1"/>
    <col min="16149" max="16149" width="3.6640625" style="295" customWidth="1"/>
    <col min="16150" max="16150" width="10.6640625" style="295" customWidth="1"/>
    <col min="16151" max="16151" width="3.6640625" style="295" customWidth="1"/>
    <col min="16152" max="16152" width="10.6640625" style="295" customWidth="1"/>
    <col min="16153" max="16153" width="3.6640625" style="295" customWidth="1"/>
    <col min="16154" max="16154" width="4.6640625" style="295" customWidth="1"/>
    <col min="16155" max="16155" width="7.6640625" style="295" customWidth="1"/>
    <col min="16156" max="16156" width="1.6640625" style="295" customWidth="1"/>
    <col min="16157" max="16157" width="7.6640625" style="295" customWidth="1"/>
    <col min="16158" max="16158" width="1.6640625" style="295" customWidth="1"/>
    <col min="16159" max="16159" width="7.6640625" style="295" customWidth="1"/>
    <col min="16160" max="16160" width="1.6640625" style="295" customWidth="1"/>
    <col min="16161" max="16161" width="7.6640625" style="295" customWidth="1"/>
    <col min="16162" max="16162" width="1.6640625" style="295" customWidth="1"/>
    <col min="16163" max="16163" width="4.6640625" style="295" customWidth="1"/>
    <col min="16164" max="16164" width="1.6640625" style="295" customWidth="1"/>
    <col min="16165" max="16165" width="4.6640625" style="295" customWidth="1"/>
    <col min="16166" max="16166" width="1.6640625" style="295" customWidth="1"/>
    <col min="16167" max="16167" width="7.6640625" style="295" customWidth="1"/>
    <col min="16168" max="16168" width="1.6640625" style="295" customWidth="1"/>
    <col min="16169" max="16169" width="7.6640625" style="295" customWidth="1"/>
    <col min="16170" max="16171" width="1.6640625" style="295" customWidth="1"/>
    <col min="16172" max="16172" width="5.6640625" style="295" customWidth="1"/>
    <col min="16173" max="16173" width="9.6640625" style="295" customWidth="1"/>
    <col min="16174" max="16174" width="1.6640625" style="295" customWidth="1"/>
    <col min="16175" max="16175" width="9.6640625" style="295" customWidth="1"/>
    <col min="16176" max="16176" width="1.6640625" style="295" customWidth="1"/>
    <col min="16177" max="16177" width="9.6640625" style="295" customWidth="1"/>
    <col min="16178" max="16178" width="1.6640625" style="295" customWidth="1"/>
    <col min="16179" max="16179" width="9.6640625" style="295" customWidth="1"/>
    <col min="16180" max="16180" width="1.6640625" style="295" customWidth="1"/>
    <col min="16181" max="16181" width="8.6640625" style="295" customWidth="1"/>
    <col min="16182" max="16182" width="1.6640625" style="295" customWidth="1"/>
    <col min="16183" max="16183" width="8.6640625" style="295" customWidth="1"/>
    <col min="16184" max="16185" width="1.6640625" style="295" customWidth="1"/>
    <col min="16186" max="16186" width="3.6640625" style="295" customWidth="1"/>
    <col min="16187" max="16187" width="10.6640625" style="295" customWidth="1"/>
    <col min="16188" max="16188" width="1.6640625" style="295" customWidth="1"/>
    <col min="16189" max="16189" width="10.6640625" style="295" customWidth="1"/>
    <col min="16190" max="16190" width="1.6640625" style="295" customWidth="1"/>
    <col min="16191" max="16191" width="10.6640625" style="295" customWidth="1"/>
    <col min="16192" max="16192" width="1.6640625" style="295" customWidth="1"/>
    <col min="16193" max="16193" width="4.6640625" style="295" customWidth="1"/>
    <col min="16194" max="16206" width="9.109375" style="295"/>
    <col min="16207" max="16207" width="18.44140625" style="295" bestFit="1" customWidth="1"/>
    <col min="16208" max="16208" width="9.109375" style="295"/>
    <col min="16209" max="16209" width="2.6640625" style="295" customWidth="1"/>
    <col min="16210" max="16210" width="12.6640625" style="295" customWidth="1"/>
    <col min="16211" max="16384" width="9.109375" style="295"/>
  </cols>
  <sheetData>
    <row r="1" spans="1:82" x14ac:dyDescent="0.2">
      <c r="A1" s="295" t="s">
        <v>1020</v>
      </c>
      <c r="B1" s="998" t="str">
        <f>'MH Underwriting'!E1</f>
        <v>Project Name</v>
      </c>
      <c r="C1" s="998"/>
      <c r="D1" s="998"/>
      <c r="E1" s="998"/>
      <c r="F1" s="998"/>
      <c r="H1" s="1000" t="s">
        <v>1021</v>
      </c>
      <c r="I1" s="1000"/>
      <c r="J1" s="1001">
        <f>'MH Underwriting'!G5</f>
        <v>0</v>
      </c>
      <c r="O1" s="295"/>
      <c r="V1" s="1002" t="s">
        <v>130</v>
      </c>
      <c r="AQ1" s="1003"/>
      <c r="AR1" s="1004" t="s">
        <v>1022</v>
      </c>
      <c r="BE1" s="1003"/>
      <c r="BF1" s="1005" t="s">
        <v>1023</v>
      </c>
      <c r="BG1" s="1005"/>
      <c r="BH1" s="1005"/>
      <c r="BI1" s="1115">
        <f>'MH Underwriting'!V19</f>
        <v>0</v>
      </c>
    </row>
    <row r="2" spans="1:82" x14ac:dyDescent="0.2">
      <c r="A2" s="1006" t="s">
        <v>381</v>
      </c>
      <c r="B2" s="1007"/>
      <c r="C2" s="295"/>
      <c r="D2" s="295"/>
      <c r="E2" s="295"/>
      <c r="F2" s="295"/>
      <c r="G2" s="1008"/>
      <c r="H2" s="295"/>
      <c r="I2" s="295"/>
      <c r="J2" s="295"/>
      <c r="K2" s="295"/>
      <c r="N2" s="1006"/>
      <c r="O2" s="295"/>
      <c r="P2" s="1009"/>
      <c r="Q2" s="1010"/>
      <c r="R2" s="1011" t="s">
        <v>1024</v>
      </c>
      <c r="S2" s="1010"/>
      <c r="T2" s="1012" t="str">
        <f>IF('Tax Credit Calculations'!S27=130%,"y","")</f>
        <v>y</v>
      </c>
      <c r="U2" s="1012"/>
      <c r="V2" s="1013" t="s">
        <v>1026</v>
      </c>
      <c r="W2" s="1013"/>
      <c r="X2" s="1014"/>
      <c r="Y2" s="1006"/>
      <c r="Z2" s="1006"/>
      <c r="AQ2" s="1003"/>
      <c r="AY2" s="1015" t="s">
        <v>510</v>
      </c>
      <c r="BA2" s="1015" t="s">
        <v>129</v>
      </c>
      <c r="BD2" s="1016"/>
      <c r="BE2" s="1017"/>
      <c r="BF2" s="295" t="s">
        <v>1095</v>
      </c>
      <c r="BI2" s="1113">
        <f>'Tax Credit Calculations'!D34+'Tax Credit Calculations'!D41</f>
        <v>0</v>
      </c>
      <c r="BJ2" s="1018"/>
      <c r="BK2" s="1015" t="s">
        <v>1027</v>
      </c>
    </row>
    <row r="3" spans="1:82" x14ac:dyDescent="0.2">
      <c r="B3" s="295"/>
      <c r="D3" s="1006" t="s">
        <v>278</v>
      </c>
      <c r="E3" s="1006"/>
      <c r="F3" s="1006" t="s">
        <v>1028</v>
      </c>
      <c r="G3" s="1006"/>
      <c r="H3" s="1006" t="s">
        <v>1029</v>
      </c>
      <c r="I3" s="1006"/>
      <c r="N3" s="1006" t="s">
        <v>1030</v>
      </c>
      <c r="O3" s="1006"/>
      <c r="P3" s="1006" t="s">
        <v>1031</v>
      </c>
      <c r="Q3" s="1006"/>
      <c r="R3" s="1006" t="s">
        <v>1032</v>
      </c>
      <c r="S3" s="1006"/>
      <c r="T3" s="295"/>
      <c r="U3" s="1019"/>
      <c r="V3" s="1006"/>
      <c r="W3" s="1006"/>
      <c r="X3" s="1006"/>
      <c r="Y3" s="1006"/>
      <c r="Z3" s="1006"/>
      <c r="AC3" s="295"/>
      <c r="AD3" s="295"/>
      <c r="AQ3" s="1003"/>
      <c r="AY3" s="1020" t="s">
        <v>1033</v>
      </c>
      <c r="BA3" s="1020" t="s">
        <v>1034</v>
      </c>
      <c r="BD3" s="1016"/>
      <c r="BE3" s="1017"/>
      <c r="BF3" s="295" t="s">
        <v>1035</v>
      </c>
      <c r="BI3" s="1113">
        <f>'MH Underwriting'!T83+'MH Underwriting'!T84</f>
        <v>0</v>
      </c>
      <c r="BJ3" s="1018"/>
      <c r="BK3" s="1021">
        <f>'MH Underwriting'!V6</f>
        <v>0.99990000000000001</v>
      </c>
    </row>
    <row r="4" spans="1:82" ht="10.8" thickBot="1" x14ac:dyDescent="0.25">
      <c r="A4" s="1022" t="s">
        <v>1036</v>
      </c>
      <c r="B4" s="1023">
        <v>1</v>
      </c>
      <c r="C4" s="1024"/>
      <c r="D4" s="1025" t="s">
        <v>1037</v>
      </c>
      <c r="E4" s="1025"/>
      <c r="F4" s="1025" t="s">
        <v>1038</v>
      </c>
      <c r="G4" s="1025"/>
      <c r="H4" s="1025" t="s">
        <v>1037</v>
      </c>
      <c r="I4" s="1025"/>
      <c r="J4" s="1025" t="s">
        <v>1033</v>
      </c>
      <c r="K4" s="1025"/>
      <c r="L4" s="1024" t="s">
        <v>1039</v>
      </c>
      <c r="M4" s="1024"/>
      <c r="N4" s="1027">
        <f>'Tax Credit Calculations'!Q37</f>
        <v>0.04</v>
      </c>
      <c r="O4" s="1028"/>
      <c r="P4" s="1029">
        <f>IF('Project Information'!L4="Yes",4%,0)</f>
        <v>0</v>
      </c>
      <c r="Q4" s="1030"/>
      <c r="R4" s="1027">
        <f>IF(P4=0,9%,0)</f>
        <v>0.09</v>
      </c>
      <c r="S4" s="1030"/>
      <c r="T4" s="1026" t="s">
        <v>1040</v>
      </c>
      <c r="U4" s="1025"/>
      <c r="V4" s="1026" t="s">
        <v>1041</v>
      </c>
      <c r="W4" s="1018"/>
      <c r="X4" s="1025" t="s">
        <v>1042</v>
      </c>
      <c r="Y4" s="1006"/>
      <c r="Z4" s="1006"/>
      <c r="AA4" s="295"/>
      <c r="AB4" s="295"/>
      <c r="AC4" s="1031" t="s">
        <v>1043</v>
      </c>
      <c r="AG4" s="1032">
        <f>'Tax Credit Calculations'!X31</f>
        <v>0</v>
      </c>
      <c r="AQ4" s="1003"/>
      <c r="AR4" s="999" t="s">
        <v>1044</v>
      </c>
      <c r="AS4" s="1031"/>
      <c r="AT4" s="1031"/>
      <c r="AU4" s="1031"/>
      <c r="AV4" s="1031"/>
      <c r="AW4" s="1031"/>
      <c r="AX4" s="1031"/>
      <c r="AY4" s="1016">
        <f>T53</f>
        <v>0</v>
      </c>
      <c r="AZ4" s="1016"/>
      <c r="BA4" s="1030">
        <f>N4</f>
        <v>0.04</v>
      </c>
      <c r="BC4" s="999">
        <f>T55</f>
        <v>0</v>
      </c>
      <c r="BD4" s="1016"/>
      <c r="BE4" s="1017"/>
      <c r="BF4" s="295" t="s">
        <v>1045</v>
      </c>
      <c r="BI4" s="1113">
        <f>'MH Underwriting'!T86</f>
        <v>0</v>
      </c>
      <c r="BJ4" s="1018"/>
    </row>
    <row r="5" spans="1:82" ht="11.4" thickTop="1" thickBot="1" x14ac:dyDescent="0.25">
      <c r="A5" s="295" t="s">
        <v>1046</v>
      </c>
      <c r="D5" s="1006"/>
      <c r="E5" s="1006"/>
      <c r="F5" s="1006"/>
      <c r="G5" s="1006"/>
      <c r="H5" s="1006"/>
      <c r="I5" s="1006"/>
      <c r="J5" s="1006"/>
      <c r="K5" s="1006"/>
      <c r="T5" s="1018"/>
      <c r="U5" s="1006"/>
      <c r="V5" s="1018"/>
      <c r="W5" s="1018"/>
      <c r="X5" s="1006"/>
      <c r="Y5" s="1006"/>
      <c r="Z5" s="1006"/>
      <c r="AA5" s="295"/>
      <c r="AB5" s="295"/>
      <c r="AC5" s="1031"/>
      <c r="AQ5" s="1003"/>
      <c r="AR5" s="999" t="str">
        <f>IF(V53=0,"Total 70% Rehabilitation Basis","Total 30% Rehabilitation Basis")</f>
        <v>Total 70% Rehabilitation Basis</v>
      </c>
      <c r="AS5" s="1031"/>
      <c r="AT5" s="1031"/>
      <c r="AU5" s="1031"/>
      <c r="AV5" s="1031"/>
      <c r="AW5" s="1031"/>
      <c r="AX5" s="1031"/>
      <c r="AY5" s="1016">
        <f>IF(V53=0,X53,V53)</f>
        <v>0</v>
      </c>
      <c r="AZ5" s="1016"/>
      <c r="BA5" s="1030">
        <f>IF(V53=0,R4,P4)</f>
        <v>0.09</v>
      </c>
      <c r="BC5" s="1024">
        <f>V55+X55</f>
        <v>0</v>
      </c>
      <c r="BD5" s="1016"/>
      <c r="BE5" s="1017"/>
      <c r="BI5" s="1113">
        <f>'MH Underwriting'!T90+'MH Underwriting'!T92+'MH Underwriting'!T93+'MH Underwriting'!T94+'MH Underwriting'!T95+'MH Underwriting'!T96+'MH Underwriting'!T97</f>
        <v>0</v>
      </c>
      <c r="BJ5" s="1018"/>
      <c r="BK5" s="1033" t="s">
        <v>363</v>
      </c>
    </row>
    <row r="6" spans="1:82" ht="10.8" thickTop="1" x14ac:dyDescent="0.2">
      <c r="A6" s="1034" t="s">
        <v>1047</v>
      </c>
      <c r="D6" s="1035">
        <f>'MH Underwriting'!P51</f>
        <v>0</v>
      </c>
      <c r="E6" s="295"/>
      <c r="F6" s="295"/>
      <c r="G6" s="295"/>
      <c r="H6" s="1036">
        <f>D6</f>
        <v>0</v>
      </c>
      <c r="J6" s="1037" t="s">
        <v>1048</v>
      </c>
      <c r="K6" s="1006"/>
      <c r="L6" s="1038">
        <f>IF(J6="y",H6,0)</f>
        <v>0</v>
      </c>
      <c r="N6" s="1038">
        <v>0</v>
      </c>
      <c r="S6" s="295"/>
      <c r="T6" s="1038">
        <f>N6</f>
        <v>0</v>
      </c>
      <c r="Z6" s="1006"/>
      <c r="AA6" s="295"/>
      <c r="AB6" s="295"/>
      <c r="AC6" s="1031"/>
      <c r="AD6" s="1031"/>
      <c r="AE6" s="1031"/>
      <c r="AQ6" s="1017"/>
      <c r="AY6" s="1039">
        <f>SUM(AY4:AY5)</f>
        <v>0</v>
      </c>
      <c r="BC6" s="1040">
        <f>SUM(BC4:BC5)</f>
        <v>0</v>
      </c>
      <c r="BD6" s="1016"/>
      <c r="BE6" s="1017"/>
      <c r="BF6" s="295" t="s">
        <v>1049</v>
      </c>
      <c r="BI6" s="1113">
        <f>'MH Underwriting'!T99</f>
        <v>0</v>
      </c>
      <c r="BJ6" s="1018"/>
      <c r="BK6" s="1041">
        <f>'MH Underwriting'!V5*100</f>
        <v>87</v>
      </c>
    </row>
    <row r="7" spans="1:82" x14ac:dyDescent="0.2">
      <c r="A7" s="1034" t="s">
        <v>1050</v>
      </c>
      <c r="D7" s="1035">
        <f>'MH Underwriting'!P50</f>
        <v>0</v>
      </c>
      <c r="E7" s="295"/>
      <c r="F7" s="295"/>
      <c r="G7" s="295"/>
      <c r="H7" s="1036">
        <f>D7</f>
        <v>0</v>
      </c>
      <c r="J7" s="1042" t="s">
        <v>1025</v>
      </c>
      <c r="K7" s="1006"/>
      <c r="L7" s="1038">
        <f>IF(J7="y",H7,0)</f>
        <v>0</v>
      </c>
      <c r="N7" s="1038">
        <f>L7</f>
        <v>0</v>
      </c>
      <c r="T7" s="1038">
        <f>N7</f>
        <v>0</v>
      </c>
      <c r="Z7" s="1006"/>
      <c r="AA7" s="295"/>
      <c r="AB7" s="295"/>
      <c r="AC7" s="295"/>
      <c r="AD7" s="295"/>
      <c r="AQ7" s="1017"/>
      <c r="BD7" s="1016"/>
      <c r="BE7" s="1017"/>
      <c r="BF7" s="295" t="s">
        <v>226</v>
      </c>
      <c r="BI7" s="1113">
        <f>'MH Underwriting'!T98</f>
        <v>0</v>
      </c>
      <c r="BJ7" s="1018"/>
      <c r="BK7" s="1015"/>
    </row>
    <row r="8" spans="1:82" x14ac:dyDescent="0.2">
      <c r="A8" s="1034" t="s">
        <v>343</v>
      </c>
      <c r="D8" s="1035">
        <f>'MH Underwriting'!P52</f>
        <v>0</v>
      </c>
      <c r="E8" s="295"/>
      <c r="F8" s="295"/>
      <c r="G8" s="295"/>
      <c r="H8" s="1036">
        <f>D8</f>
        <v>0</v>
      </c>
      <c r="J8" s="1042" t="s">
        <v>1048</v>
      </c>
      <c r="K8" s="1006"/>
      <c r="L8" s="1038">
        <f>IF(J8="y",H8,0)</f>
        <v>0</v>
      </c>
      <c r="N8" s="1038">
        <f>L8</f>
        <v>0</v>
      </c>
      <c r="T8" s="1038">
        <f>N8</f>
        <v>0</v>
      </c>
      <c r="Z8" s="1006"/>
      <c r="AA8" s="295"/>
      <c r="AB8" s="295"/>
      <c r="AC8" s="295"/>
      <c r="AD8" s="295"/>
      <c r="AQ8" s="1017"/>
      <c r="AY8" s="1016"/>
      <c r="BC8" s="1040"/>
      <c r="BD8" s="1016"/>
      <c r="BE8" s="1017"/>
      <c r="BF8" s="295" t="s">
        <v>94</v>
      </c>
      <c r="BI8" s="1114">
        <f>D51</f>
        <v>0</v>
      </c>
      <c r="BJ8" s="1018"/>
      <c r="BK8" s="1015" t="s">
        <v>1051</v>
      </c>
      <c r="BT8" s="1015"/>
      <c r="BV8" s="1015"/>
      <c r="BW8" s="1015"/>
      <c r="BX8" s="1015"/>
      <c r="BY8" s="1015"/>
    </row>
    <row r="9" spans="1:82" ht="10.8" thickBot="1" x14ac:dyDescent="0.25">
      <c r="A9" s="1034" t="s">
        <v>446</v>
      </c>
      <c r="D9" s="1035">
        <f>'MH Underwriting'!P53</f>
        <v>0</v>
      </c>
      <c r="E9" s="295"/>
      <c r="F9" s="295"/>
      <c r="G9" s="295"/>
      <c r="H9" s="1036">
        <f>D9</f>
        <v>0</v>
      </c>
      <c r="J9" s="1042" t="s">
        <v>1025</v>
      </c>
      <c r="K9" s="1006"/>
      <c r="L9" s="1038">
        <f>IF(J9="y",H9,0)</f>
        <v>0</v>
      </c>
      <c r="N9" s="1038">
        <f>L9</f>
        <v>0</v>
      </c>
      <c r="T9" s="1038">
        <f>N9</f>
        <v>0</v>
      </c>
      <c r="Z9" s="1006"/>
      <c r="AA9" s="295"/>
      <c r="AB9" s="295"/>
      <c r="AC9" s="295"/>
      <c r="AD9" s="295"/>
      <c r="AQ9" s="1017"/>
      <c r="AY9" s="1016"/>
      <c r="BC9" s="1040"/>
      <c r="BD9" s="1016"/>
      <c r="BE9" s="1017"/>
      <c r="BI9" s="1018"/>
      <c r="BJ9" s="1018"/>
      <c r="BK9" s="1015"/>
      <c r="BT9" s="1015"/>
      <c r="BV9" s="1015"/>
      <c r="BW9" s="1015"/>
      <c r="BX9" s="1015"/>
      <c r="BY9" s="1015"/>
    </row>
    <row r="10" spans="1:82" ht="10.8" thickBot="1" x14ac:dyDescent="0.25">
      <c r="A10" s="1034" t="s">
        <v>226</v>
      </c>
      <c r="D10" s="1035">
        <f>'MH Underwriting'!P54</f>
        <v>0</v>
      </c>
      <c r="E10" s="1015"/>
      <c r="F10" s="295"/>
      <c r="G10" s="295"/>
      <c r="H10" s="1035">
        <f>D10</f>
        <v>0</v>
      </c>
      <c r="J10" s="1042" t="s">
        <v>1025</v>
      </c>
      <c r="K10" s="1006"/>
      <c r="L10" s="1038">
        <f>IF(J10="y",H10,0)</f>
        <v>0</v>
      </c>
      <c r="N10" s="1038">
        <f>L10</f>
        <v>0</v>
      </c>
      <c r="T10" s="1038">
        <f>N10</f>
        <v>0</v>
      </c>
      <c r="Z10" s="1006"/>
      <c r="AA10" s="295"/>
      <c r="AC10" s="295" t="s">
        <v>1052</v>
      </c>
      <c r="AE10" s="1015" t="s">
        <v>1053</v>
      </c>
      <c r="AG10" s="295" t="s">
        <v>1054</v>
      </c>
      <c r="AI10" s="1015" t="s">
        <v>1055</v>
      </c>
      <c r="AJ10" s="1015"/>
      <c r="AK10" s="1015" t="s">
        <v>1056</v>
      </c>
      <c r="AM10" s="1015" t="s">
        <v>1057</v>
      </c>
      <c r="AN10" s="1015"/>
      <c r="AO10" s="295" t="s">
        <v>1058</v>
      </c>
      <c r="AQ10" s="1017"/>
      <c r="AY10" s="1016"/>
      <c r="BC10" s="1040"/>
      <c r="BD10" s="1016"/>
      <c r="BE10" s="1017"/>
      <c r="BF10" s="295" t="s">
        <v>1059</v>
      </c>
      <c r="BI10" s="1031">
        <f>(BI2+BI3+BI4+BI5+BI6+BI7+BI1)-BI8</f>
        <v>0</v>
      </c>
      <c r="BJ10" s="1018"/>
      <c r="BK10" s="1044">
        <f>(((BI10/(BK6/100))/10)/BK3)*-1</f>
        <v>0</v>
      </c>
      <c r="BN10" s="1000" t="s">
        <v>1060</v>
      </c>
      <c r="BO10" s="1000"/>
      <c r="BP10" s="1000"/>
      <c r="BQ10" s="1000"/>
      <c r="BR10" s="1000"/>
      <c r="BS10" s="1000"/>
      <c r="BT10" s="1000"/>
      <c r="BZ10" s="1015" t="s">
        <v>1061</v>
      </c>
      <c r="CA10" s="1015"/>
    </row>
    <row r="11" spans="1:82" ht="10.8" thickBot="1" x14ac:dyDescent="0.25">
      <c r="A11" s="295" t="s">
        <v>1062</v>
      </c>
      <c r="F11" s="1045"/>
      <c r="Z11" s="1031" t="s">
        <v>1063</v>
      </c>
      <c r="AA11" s="999" t="s">
        <v>1064</v>
      </c>
      <c r="AC11" s="295" t="s">
        <v>1065</v>
      </c>
      <c r="AE11" s="1015" t="s">
        <v>1066</v>
      </c>
      <c r="AG11" s="295" t="s">
        <v>1067</v>
      </c>
      <c r="AH11" s="1046"/>
      <c r="AI11" s="295" t="s">
        <v>1065</v>
      </c>
      <c r="AK11" s="295" t="s">
        <v>1065</v>
      </c>
      <c r="AM11" s="295" t="s">
        <v>1067</v>
      </c>
      <c r="AO11" s="295" t="s">
        <v>1067</v>
      </c>
      <c r="AQ11" s="1017"/>
      <c r="BC11" s="1040"/>
      <c r="BE11" s="1003"/>
      <c r="BN11" s="1037" t="s">
        <v>1063</v>
      </c>
      <c r="BO11" s="1047" t="s">
        <v>1068</v>
      </c>
      <c r="BP11" s="1048" t="s">
        <v>1069</v>
      </c>
      <c r="BQ11" s="1047" t="s">
        <v>1070</v>
      </c>
      <c r="BR11" s="1048" t="s">
        <v>1069</v>
      </c>
      <c r="BS11" s="1047" t="s">
        <v>1071</v>
      </c>
      <c r="BT11" s="1048" t="s">
        <v>1096</v>
      </c>
      <c r="BV11" s="1043" t="s">
        <v>1098</v>
      </c>
      <c r="BW11" s="1049"/>
      <c r="BX11" s="1049"/>
      <c r="BY11" s="1050"/>
      <c r="BZ11" s="1048" t="s">
        <v>1072</v>
      </c>
      <c r="CA11" s="1015"/>
    </row>
    <row r="12" spans="1:82" x14ac:dyDescent="0.2">
      <c r="A12" s="1051" t="s">
        <v>1073</v>
      </c>
      <c r="B12" s="1052">
        <f>'MH Underwriting'!P15</f>
        <v>0</v>
      </c>
      <c r="C12" s="1053"/>
      <c r="E12" s="295"/>
      <c r="F12" s="295"/>
      <c r="G12" s="295"/>
      <c r="J12" s="1006"/>
      <c r="K12" s="1006"/>
      <c r="T12" s="1006"/>
      <c r="U12" s="1006"/>
      <c r="V12" s="1006"/>
      <c r="W12" s="1006"/>
      <c r="Y12" s="1006"/>
      <c r="Z12" s="1031"/>
      <c r="AC12" s="295"/>
      <c r="AE12" s="1015"/>
      <c r="AH12" s="1046"/>
      <c r="AQ12" s="1017"/>
      <c r="AS12" s="1000" t="s">
        <v>1074</v>
      </c>
      <c r="AT12" s="1000"/>
      <c r="AU12" s="1000"/>
      <c r="AV12" s="1000"/>
      <c r="AW12" s="1054" t="s">
        <v>1075</v>
      </c>
      <c r="AX12" s="1055"/>
      <c r="AY12" s="1056"/>
      <c r="BD12" s="1030"/>
      <c r="BE12" s="1003"/>
      <c r="BI12" s="295"/>
      <c r="BJ12" s="295"/>
      <c r="BM12" s="1005"/>
      <c r="BN12" s="1006"/>
      <c r="BO12" s="1057"/>
      <c r="BP12" s="1015"/>
      <c r="BQ12" s="1057"/>
      <c r="BR12" s="1015"/>
      <c r="BS12" s="1057"/>
      <c r="BT12" s="1015"/>
      <c r="BV12" s="1015"/>
      <c r="BW12" s="1015"/>
      <c r="BX12" s="1015"/>
      <c r="BY12" s="1015"/>
    </row>
    <row r="13" spans="1:82" x14ac:dyDescent="0.2">
      <c r="A13" s="1058" t="s">
        <v>1076</v>
      </c>
      <c r="B13" s="1052">
        <f>'MH Underwriting'!P16</f>
        <v>0</v>
      </c>
      <c r="C13" s="1059"/>
      <c r="E13" s="295"/>
      <c r="F13" s="295"/>
      <c r="G13" s="295"/>
      <c r="J13" s="1006"/>
      <c r="K13" s="1006"/>
      <c r="T13" s="1006"/>
      <c r="U13" s="1006"/>
      <c r="V13" s="1006"/>
      <c r="W13" s="1006"/>
      <c r="Y13" s="1006"/>
      <c r="Z13" s="1031"/>
      <c r="AC13" s="295"/>
      <c r="AE13" s="1015"/>
      <c r="AH13" s="1046"/>
      <c r="AQ13" s="1017"/>
      <c r="AR13" s="1031" t="s">
        <v>1063</v>
      </c>
      <c r="AS13" s="1015" t="s">
        <v>1072</v>
      </c>
      <c r="AT13" s="1015"/>
      <c r="AU13" s="1015" t="s">
        <v>1077</v>
      </c>
      <c r="AV13" s="1060"/>
      <c r="AW13" s="1057" t="s">
        <v>1072</v>
      </c>
      <c r="AX13" s="1015"/>
      <c r="AY13" s="1061" t="s">
        <v>1077</v>
      </c>
      <c r="AZ13" s="999"/>
      <c r="BA13" s="1062" t="str">
        <f>IF(V53=0,"70% Rehab","30% Rehab")</f>
        <v>70% Rehab</v>
      </c>
      <c r="BB13" s="1062"/>
      <c r="BC13" s="1062" t="s">
        <v>1078</v>
      </c>
      <c r="BE13" s="1063"/>
      <c r="BF13" s="1031"/>
      <c r="BG13" s="1031" t="s">
        <v>1063</v>
      </c>
      <c r="BH13" s="1031"/>
      <c r="BI13" s="1062" t="str">
        <f>IF(V53=0,"70% Rehab","30% Rehab")</f>
        <v>70% Rehab</v>
      </c>
      <c r="BJ13" s="1062"/>
      <c r="BK13" s="1062" t="s">
        <v>1078</v>
      </c>
      <c r="BN13" s="1006"/>
      <c r="BO13" s="1057"/>
      <c r="BP13" s="1015"/>
      <c r="BQ13" s="1057"/>
      <c r="BR13" s="1015"/>
      <c r="BS13" s="1057"/>
      <c r="BT13" s="1015"/>
      <c r="BV13" s="1015"/>
      <c r="BW13" s="1015"/>
      <c r="BX13" s="1015"/>
      <c r="BY13" s="1015"/>
      <c r="CD13" s="1005" t="s">
        <v>1080</v>
      </c>
    </row>
    <row r="14" spans="1:82" x14ac:dyDescent="0.2">
      <c r="A14" s="1058" t="s">
        <v>1079</v>
      </c>
      <c r="B14" s="1052">
        <f>'MH Underwriting'!P17</f>
        <v>0</v>
      </c>
      <c r="D14" s="1064">
        <f>IF(B14&gt;0,B14/D19,0)</f>
        <v>0</v>
      </c>
      <c r="E14" s="295"/>
      <c r="F14" s="1065" t="str">
        <f>IF(D14&gt;6%,"ALERT","")</f>
        <v/>
      </c>
      <c r="G14" s="295"/>
      <c r="H14" s="1065" t="str">
        <f>IF(F14="","",IF(SUM(D14:D16)&lt;=14%,"Aggregate total is OK",""))</f>
        <v/>
      </c>
      <c r="J14" s="1006"/>
      <c r="K14" s="1006"/>
      <c r="P14" s="1066"/>
      <c r="Q14" s="1066"/>
      <c r="R14" s="1066"/>
      <c r="S14" s="1066"/>
      <c r="T14" s="1067"/>
      <c r="U14" s="1067"/>
      <c r="V14" s="1067"/>
      <c r="W14" s="1006"/>
      <c r="X14" s="1006"/>
      <c r="Y14" s="1006"/>
      <c r="Z14" s="1006">
        <v>1</v>
      </c>
      <c r="AA14" s="1035">
        <f>IF(OR('Building Summary'!D11=1,'Building Summary'!D11=0),'Building Summary'!F14,"Manual")</f>
        <v>0</v>
      </c>
      <c r="AC14" s="1035">
        <f>IF(AA14="","",IF(AA14="Manual", "Imput",AA14*'Tax Credit Calculations'!X32))</f>
        <v>0</v>
      </c>
      <c r="AE14" s="1030">
        <f>IF(AA14="Manual",0,IF(AA14&gt;0,ROUND(AA14/AG$4,4),0))</f>
        <v>0</v>
      </c>
      <c r="AF14" s="1030"/>
      <c r="AG14" s="1030" t="str">
        <f>IF(AA14="Manual","",IF(AA14&gt;0,AC14/AA14,""))</f>
        <v/>
      </c>
      <c r="AH14" s="1068"/>
      <c r="AI14" s="1069">
        <f>IF(AA14="Manual","",'Tax Credit Calculations'!W31)</f>
        <v>0</v>
      </c>
      <c r="AK14" s="1069">
        <f>IF(AI14="",0,AI14*'Tax Credit Calculations'!V32)</f>
        <v>0</v>
      </c>
      <c r="AM14" s="1030" t="str">
        <f>IF(AI14&gt;0,AK14/AI14,"")</f>
        <v/>
      </c>
      <c r="AO14" s="1030" t="str">
        <f>IF(AND(AM14&gt;0,AM14&lt;AG14),AM14,AG14)</f>
        <v/>
      </c>
      <c r="AQ14" s="1017"/>
      <c r="AR14" s="999">
        <f>Z14</f>
        <v>1</v>
      </c>
      <c r="AS14" s="999">
        <f>IF(AND(AY$5&gt;0,AE14&gt;0),AY$5*AE14,0)</f>
        <v>0</v>
      </c>
      <c r="AT14" s="999"/>
      <c r="AU14" s="999">
        <f>IF(AND(AY$4&gt;0,AE14&gt;0),AY$4*AE14,0)</f>
        <v>0</v>
      </c>
      <c r="AV14" s="999"/>
      <c r="AW14" s="1070">
        <f>IF(AND(BC$5&gt;0,AE14&gt;0),AS14*AO14,0)</f>
        <v>0</v>
      </c>
      <c r="AX14" s="999"/>
      <c r="AY14" s="1059">
        <f>IF(AND(BC$4&gt;0,AI14&gt;0),AU14*AO14,0)</f>
        <v>0</v>
      </c>
      <c r="AZ14" s="999"/>
      <c r="BA14" s="1016">
        <f>ROUND(IF(AY$5&gt;0,AW14*BA$5,0),0)</f>
        <v>0</v>
      </c>
      <c r="BB14" s="1016"/>
      <c r="BC14" s="999">
        <f>ROUND(IF(AY$4&gt;0,AY14*BA$4,0),0)</f>
        <v>0</v>
      </c>
      <c r="BD14" s="1030"/>
      <c r="BE14" s="1003"/>
      <c r="BF14" s="999"/>
      <c r="BG14" s="1031">
        <f>AR14</f>
        <v>1</v>
      </c>
      <c r="BH14" s="1031"/>
      <c r="BI14" s="1016">
        <f>ROUND(IF($BK$10&lt;$BA$50,IF($BK$52&lt;$BK$10,(BA14/$BA$50)*$BK$52,(BA14/$BA$50)*$BK$10),IF($BK$52&lt;$BA$50,(BA14/$BA$50)*$BK$52,BA14)),0)</f>
        <v>0</v>
      </c>
      <c r="BJ14" s="1016"/>
      <c r="BK14" s="1016">
        <f>ROUND(IF($BK$10&lt;$BA$50,IF($BK$52&lt;$BK$10,(BC14/$BA$50)*$BK$52,(BC14/$BA$50)*$BK$10),IF($BK$52&lt;$BA$50,(BC14/$BA$50)*$BK$52,BC14)),0)</f>
        <v>0</v>
      </c>
      <c r="BN14" s="1006">
        <f>Z14</f>
        <v>1</v>
      </c>
      <c r="BO14" s="1070">
        <f>IF(AND(B$4&gt;1,$AE14&gt;0),($H$6+$H$7+$H$8+$H$9+$H$10)*AE14,0)</f>
        <v>0</v>
      </c>
      <c r="BP14" s="999">
        <f t="shared" ref="BP14:BP48" si="0">ROUNDDOWN(BO14*0.1,0)</f>
        <v>0</v>
      </c>
      <c r="BQ14" s="1070">
        <f>IF(AND(B$4&gt;1,$AE14&gt;0),(L$7+$L$9+L$10)*AE14,0)</f>
        <v>0</v>
      </c>
      <c r="BR14" s="999">
        <f>ROUNDDOWN(BQ14*0.1,0)</f>
        <v>0</v>
      </c>
      <c r="BS14" s="1057">
        <f t="shared" ref="BS14:BS48" si="1">IF(AND(B$4&gt;1,$AI14&gt;0),AI14*AM14,0)</f>
        <v>0</v>
      </c>
      <c r="BT14" s="999">
        <f>(BS14*7500)</f>
        <v>0</v>
      </c>
      <c r="BV14" s="1006" t="str">
        <f>IF(AND(BP14&gt;BT14,BP14&gt;BR14),BP14,"*")</f>
        <v>*</v>
      </c>
      <c r="BW14" s="1006" t="str">
        <f>IF(AND(BV14="*",BR14&gt;BT14),BR14,"*")</f>
        <v>*</v>
      </c>
      <c r="BX14" s="1015">
        <f>IF(AND(BV14="*",BW14="*"),BT14,"*")</f>
        <v>0</v>
      </c>
      <c r="BZ14" s="999">
        <f t="shared" ref="BZ14:BZ48" si="2">IF(AND($B$4&lt;&gt;1,AE14&gt;0),($B$12+$B$13)*AE14,0)</f>
        <v>0</v>
      </c>
      <c r="CA14" s="999" t="str">
        <f>IF(BZ14&lt;SUM(BV14:BX14),"Minimum Rehab Alert","")</f>
        <v/>
      </c>
      <c r="CC14" s="1071"/>
    </row>
    <row r="15" spans="1:82" x14ac:dyDescent="0.2">
      <c r="A15" s="1058" t="s">
        <v>1081</v>
      </c>
      <c r="B15" s="1052"/>
      <c r="D15" s="1072">
        <f>IF(B15&gt;0,B15/D19,0)</f>
        <v>0</v>
      </c>
      <c r="E15" s="295"/>
      <c r="F15" s="1065" t="str">
        <f>IF(D15&gt;2%,"ALERT","")</f>
        <v/>
      </c>
      <c r="G15" s="295"/>
      <c r="H15" s="1065" t="str">
        <f>IF(F15="","",IF(SUM(D14:D16)&lt;=14%,"Aggregate total is OK","ALERT"))</f>
        <v/>
      </c>
      <c r="J15" s="1006"/>
      <c r="K15" s="1006"/>
      <c r="L15" s="1073"/>
      <c r="P15" s="1066"/>
      <c r="Q15" s="1066"/>
      <c r="R15" s="1066"/>
      <c r="S15" s="1066"/>
      <c r="T15" s="1067"/>
      <c r="U15" s="1067"/>
      <c r="V15" s="1067"/>
      <c r="W15" s="1006"/>
      <c r="X15" s="1006"/>
      <c r="Y15" s="1006"/>
      <c r="Z15" s="1006">
        <f>Z14+1</f>
        <v>2</v>
      </c>
      <c r="AA15" s="1035"/>
      <c r="AC15" s="1035" t="str">
        <f>IF(AA15="","",AA15*'Tax Credit Calculations'!$X$32)</f>
        <v/>
      </c>
      <c r="AE15" s="1030">
        <f>IF(AA15&gt;0,ROUND(AA15/AG$4,4),0)</f>
        <v>0</v>
      </c>
      <c r="AF15" s="1030"/>
      <c r="AG15" s="1030" t="str">
        <f>IF(AA15&gt;0,AC15/AA15,"")</f>
        <v/>
      </c>
      <c r="AH15" s="1068"/>
      <c r="AI15" s="1069"/>
      <c r="AK15" s="1069" t="str">
        <f>IF(AI15="","",AI15*'Tax Credit Calculations'!$V$32)</f>
        <v/>
      </c>
      <c r="AM15" s="1030" t="str">
        <f>IF(AI15&gt;0,AK15/AI15,"")</f>
        <v/>
      </c>
      <c r="AO15" s="1030" t="str">
        <f>IF(AND(AM15&gt;0,AM15&lt;AG15),AM15,AG15)</f>
        <v/>
      </c>
      <c r="AQ15" s="1017"/>
      <c r="AR15" s="999">
        <f>Z15</f>
        <v>2</v>
      </c>
      <c r="AS15" s="999">
        <f t="shared" ref="AS15:AS48" si="3">IF(AND(AY$5&gt;0,AE15&gt;0),AY$5*AE15,0)</f>
        <v>0</v>
      </c>
      <c r="AT15" s="999"/>
      <c r="AU15" s="999">
        <f t="shared" ref="AU15:AU48" si="4">IF(AND(AY$4&gt;0,AE15&gt;0),AY$4*AE15,0)</f>
        <v>0</v>
      </c>
      <c r="AV15" s="999"/>
      <c r="AW15" s="1070">
        <f t="shared" ref="AW15:AW48" si="5">IF(AND(BC$5&gt;0,AE15&gt;0),AS15*AO15,0)</f>
        <v>0</v>
      </c>
      <c r="AX15" s="999"/>
      <c r="AY15" s="1059">
        <f t="shared" ref="AY15:AY48" si="6">IF(AND(BC$4&gt;0,AI15&gt;0),AU15*AO15,0)</f>
        <v>0</v>
      </c>
      <c r="AZ15" s="999"/>
      <c r="BA15" s="1016">
        <f t="shared" ref="BA15:BA48" si="7">ROUND(IF(AY$5&gt;0,AW15*BA$5,0),0)</f>
        <v>0</v>
      </c>
      <c r="BB15" s="1016"/>
      <c r="BC15" s="999">
        <f t="shared" ref="BC15:BC48" si="8">ROUND(IF(AY$4&gt;0,AY15*BA$4,0),0)</f>
        <v>0</v>
      </c>
      <c r="BE15" s="1063"/>
      <c r="BG15" s="1031">
        <f>AR15</f>
        <v>2</v>
      </c>
      <c r="BH15" s="1031"/>
      <c r="BI15" s="1016">
        <f t="shared" ref="BI15:BI48" si="9">ROUND(IF($BK$10&lt;$BA$50,IF($BK$52&lt;$BK$10,(BA15/$BA$50)*$BK$52,(BA15/$BA$50)*$BK$10),IF($BK$52&lt;$BA$50,(BA15/$BA$50)*$BK$52,BA15)),0)</f>
        <v>0</v>
      </c>
      <c r="BJ15" s="1016"/>
      <c r="BK15" s="1016">
        <f t="shared" ref="BK15:BK48" si="10">ROUND(IF($BK$10&lt;$BA$50,IF($BK$52&lt;$BK$10,(BC15/$BA$50)*$BK$52,(BC15/$BA$50)*$BK$10),IF($BK$52&lt;$BA$50,(BC15/$BA$50)*$BK$52,BC15)),0)</f>
        <v>0</v>
      </c>
      <c r="BN15" s="1006">
        <f>Z15</f>
        <v>2</v>
      </c>
      <c r="BO15" s="1070">
        <f t="shared" ref="BO15:BO48" si="11">IF(AND(B$4&gt;1,$AE15&gt;0),($H$6+$H$7+$H$8+$H$10)*AE15,0)</f>
        <v>0</v>
      </c>
      <c r="BP15" s="999">
        <f t="shared" si="0"/>
        <v>0</v>
      </c>
      <c r="BQ15" s="1070">
        <f t="shared" ref="BQ15:BQ48" si="12">IF(AND(B$4&gt;1,$AE15&gt;0),(L$7+L$10)*AE15,0)</f>
        <v>0</v>
      </c>
      <c r="BR15" s="999">
        <f t="shared" ref="BR15:BR48" si="13">ROUNDDOWN(BQ15*0.1,0)</f>
        <v>0</v>
      </c>
      <c r="BS15" s="1057">
        <f t="shared" si="1"/>
        <v>0</v>
      </c>
      <c r="BT15" s="999">
        <f t="shared" ref="BT15:BT48" si="14">(BS15*7500)</f>
        <v>0</v>
      </c>
      <c r="BU15" s="999"/>
      <c r="BV15" s="1006" t="str">
        <f>IF(AND(BP15&gt;BT15,BP15&gt;BR15),BP15,"*")</f>
        <v>*</v>
      </c>
      <c r="BW15" s="1006" t="str">
        <f>IF(AND(BV15="*",BR15&gt;BT15),BR15,"*")</f>
        <v>*</v>
      </c>
      <c r="BX15" s="1015">
        <f>IF(AND(BV15="*",BW15="*"),BT15,"*")</f>
        <v>0</v>
      </c>
      <c r="BZ15" s="999">
        <f t="shared" si="2"/>
        <v>0</v>
      </c>
      <c r="CA15" s="999" t="str">
        <f t="shared" ref="CA15:CA48" si="15">IF(BZ15&lt;SUM(BV15:BX15),"Minimum Rehab Alert","")</f>
        <v/>
      </c>
      <c r="CC15" s="1071"/>
    </row>
    <row r="16" spans="1:82" x14ac:dyDescent="0.2">
      <c r="A16" s="1058" t="s">
        <v>1082</v>
      </c>
      <c r="B16" s="1052">
        <f>'MH Underwriting'!P18-B15+B15</f>
        <v>0</v>
      </c>
      <c r="D16" s="1074">
        <f>IF(B16&gt;0,B16/D19,0)</f>
        <v>0</v>
      </c>
      <c r="E16" s="295"/>
      <c r="F16" s="1075" t="str">
        <f>IF(D15=0,IF(D16&gt;8%,"ALERT",""),IF(D16&gt;6%,"ALERT",""))</f>
        <v/>
      </c>
      <c r="G16" s="295"/>
      <c r="H16" s="1065" t="str">
        <f>IF(F16="","",IF(SUM(D14:D16)&lt;=14%,"Aggregate total is OK",""))</f>
        <v/>
      </c>
      <c r="J16" s="1006"/>
      <c r="K16" s="1006"/>
      <c r="P16" s="1066"/>
      <c r="Q16" s="1066"/>
      <c r="R16" s="1066"/>
      <c r="S16" s="1066"/>
      <c r="T16" s="1067"/>
      <c r="U16" s="1067"/>
      <c r="V16" s="1067"/>
      <c r="W16" s="1006"/>
      <c r="X16" s="1006"/>
      <c r="Y16" s="1006"/>
      <c r="Z16" s="1006">
        <f t="shared" ref="Z16:Z48" si="16">Z15+1</f>
        <v>3</v>
      </c>
      <c r="AA16" s="1035"/>
      <c r="AC16" s="1035" t="str">
        <f>IF(AA16="","",AA16*'Tax Credit Calculations'!$X$32)</f>
        <v/>
      </c>
      <c r="AE16" s="1030">
        <f t="shared" ref="AE16:AE48" si="17">IF(AA16&gt;0,ROUND(AA16/AG$4,4),0)</f>
        <v>0</v>
      </c>
      <c r="AF16" s="1030"/>
      <c r="AG16" s="1030" t="str">
        <f t="shared" ref="AG16:AG48" si="18">IF(AA16&gt;0,AC16/AA16,"  ")</f>
        <v xml:space="preserve">  </v>
      </c>
      <c r="AH16" s="1068"/>
      <c r="AI16" s="1069"/>
      <c r="AK16" s="1069" t="str">
        <f>IF(AI16="","",AI16*'Tax Credit Calculations'!$V$32)</f>
        <v/>
      </c>
      <c r="AM16" s="1030" t="str">
        <f t="shared" ref="AM16:AM48" si="19">IF(AI16&gt;0,AK16/AI16,"  ")</f>
        <v xml:space="preserve">  </v>
      </c>
      <c r="AO16" s="1030" t="str">
        <f t="shared" ref="AO16:AO48" si="20">IF(AND(AM16&gt;0,AM16&lt;AG16),AM16,AG16)</f>
        <v xml:space="preserve">  </v>
      </c>
      <c r="AQ16" s="1017"/>
      <c r="AR16" s="999">
        <f t="shared" ref="AR16:AR48" si="21">Z16</f>
        <v>3</v>
      </c>
      <c r="AS16" s="999">
        <f t="shared" si="3"/>
        <v>0</v>
      </c>
      <c r="AT16" s="999"/>
      <c r="AU16" s="999">
        <f t="shared" si="4"/>
        <v>0</v>
      </c>
      <c r="AV16" s="999"/>
      <c r="AW16" s="1070">
        <f t="shared" si="5"/>
        <v>0</v>
      </c>
      <c r="AX16" s="999"/>
      <c r="AY16" s="1059">
        <f t="shared" si="6"/>
        <v>0</v>
      </c>
      <c r="AZ16" s="999"/>
      <c r="BA16" s="1016">
        <f t="shared" si="7"/>
        <v>0</v>
      </c>
      <c r="BB16" s="1016"/>
      <c r="BC16" s="999">
        <f t="shared" si="8"/>
        <v>0</v>
      </c>
      <c r="BD16" s="1030"/>
      <c r="BE16" s="1003"/>
      <c r="BG16" s="1031">
        <f>AR16</f>
        <v>3</v>
      </c>
      <c r="BH16" s="1031"/>
      <c r="BI16" s="1016">
        <f t="shared" si="9"/>
        <v>0</v>
      </c>
      <c r="BJ16" s="1016"/>
      <c r="BK16" s="1016">
        <f t="shared" si="10"/>
        <v>0</v>
      </c>
      <c r="BN16" s="1006">
        <f t="shared" ref="BN16:BN48" si="22">Z16</f>
        <v>3</v>
      </c>
      <c r="BO16" s="1070">
        <f t="shared" si="11"/>
        <v>0</v>
      </c>
      <c r="BP16" s="999">
        <f t="shared" si="0"/>
        <v>0</v>
      </c>
      <c r="BQ16" s="1070">
        <f t="shared" si="12"/>
        <v>0</v>
      </c>
      <c r="BR16" s="999">
        <f t="shared" si="13"/>
        <v>0</v>
      </c>
      <c r="BS16" s="1057">
        <f t="shared" si="1"/>
        <v>0</v>
      </c>
      <c r="BT16" s="999">
        <f t="shared" si="14"/>
        <v>0</v>
      </c>
      <c r="BU16" s="999"/>
      <c r="BV16" s="1006" t="str">
        <f t="shared" ref="BV16:BV48" si="23">IF(AND(BP16&gt;BT16,BP16&gt;BR16),BP16,"*")</f>
        <v>*</v>
      </c>
      <c r="BW16" s="1006" t="str">
        <f t="shared" ref="BW16:BW48" si="24">IF(AND(BV16="*",BR16&gt;BT16),BR16,"*")</f>
        <v>*</v>
      </c>
      <c r="BX16" s="1015">
        <f t="shared" ref="BX16:BX48" si="25">IF(AND(BV16="*",BW16="*"),BT16,"*")</f>
        <v>0</v>
      </c>
      <c r="BZ16" s="999">
        <f t="shared" si="2"/>
        <v>0</v>
      </c>
      <c r="CA16" s="999" t="str">
        <f t="shared" si="15"/>
        <v/>
      </c>
      <c r="CC16" s="1071"/>
    </row>
    <row r="17" spans="1:83" x14ac:dyDescent="0.2">
      <c r="A17" s="1058" t="s">
        <v>452</v>
      </c>
      <c r="B17" s="1052">
        <f>'MH Underwriting'!P19</f>
        <v>0</v>
      </c>
      <c r="C17" s="1059"/>
      <c r="D17" s="1076"/>
      <c r="E17" s="295"/>
      <c r="F17" s="1077"/>
      <c r="H17" s="1078"/>
      <c r="J17" s="1006"/>
      <c r="K17" s="1006"/>
      <c r="T17" s="1006"/>
      <c r="U17" s="1006"/>
      <c r="V17" s="1006"/>
      <c r="W17" s="1006"/>
      <c r="X17" s="1006"/>
      <c r="Y17" s="1006"/>
      <c r="Z17" s="1006">
        <f>Z16+1</f>
        <v>4</v>
      </c>
      <c r="AA17" s="1035"/>
      <c r="AC17" s="1035" t="str">
        <f>IF(AA17="","",AA17*'Tax Credit Calculations'!$X$32)</f>
        <v/>
      </c>
      <c r="AD17" s="295"/>
      <c r="AE17" s="1030">
        <f t="shared" si="17"/>
        <v>0</v>
      </c>
      <c r="AG17" s="1030" t="str">
        <f t="shared" si="18"/>
        <v xml:space="preserve">  </v>
      </c>
      <c r="AH17" s="1068"/>
      <c r="AI17" s="1069"/>
      <c r="AK17" s="1069" t="str">
        <f>IF(AI17="","",AI17*'Tax Credit Calculations'!$V$32)</f>
        <v/>
      </c>
      <c r="AM17" s="1030" t="str">
        <f t="shared" si="19"/>
        <v xml:space="preserve">  </v>
      </c>
      <c r="AO17" s="1030" t="str">
        <f t="shared" si="20"/>
        <v xml:space="preserve">  </v>
      </c>
      <c r="AQ17" s="1017"/>
      <c r="AR17" s="999">
        <f t="shared" si="21"/>
        <v>4</v>
      </c>
      <c r="AS17" s="999">
        <f t="shared" si="3"/>
        <v>0</v>
      </c>
      <c r="AT17" s="999"/>
      <c r="AU17" s="999">
        <f t="shared" si="4"/>
        <v>0</v>
      </c>
      <c r="AV17" s="999"/>
      <c r="AW17" s="1070">
        <f t="shared" si="5"/>
        <v>0</v>
      </c>
      <c r="AX17" s="999"/>
      <c r="AY17" s="1059">
        <f t="shared" si="6"/>
        <v>0</v>
      </c>
      <c r="AZ17" s="999"/>
      <c r="BA17" s="1016">
        <f t="shared" si="7"/>
        <v>0</v>
      </c>
      <c r="BB17" s="1016"/>
      <c r="BC17" s="999">
        <f t="shared" si="8"/>
        <v>0</v>
      </c>
      <c r="BE17" s="1063"/>
      <c r="BF17" s="999"/>
      <c r="BG17" s="1031">
        <f t="shared" ref="BG17:BG48" si="26">AR17</f>
        <v>4</v>
      </c>
      <c r="BH17" s="1031"/>
      <c r="BI17" s="1016">
        <f t="shared" si="9"/>
        <v>0</v>
      </c>
      <c r="BJ17" s="1016"/>
      <c r="BK17" s="1016">
        <f t="shared" si="10"/>
        <v>0</v>
      </c>
      <c r="BN17" s="1006">
        <f t="shared" si="22"/>
        <v>4</v>
      </c>
      <c r="BO17" s="1070">
        <f t="shared" si="11"/>
        <v>0</v>
      </c>
      <c r="BP17" s="999">
        <f t="shared" si="0"/>
        <v>0</v>
      </c>
      <c r="BQ17" s="1070">
        <f t="shared" si="12"/>
        <v>0</v>
      </c>
      <c r="BR17" s="999">
        <f t="shared" si="13"/>
        <v>0</v>
      </c>
      <c r="BS17" s="1057">
        <f t="shared" si="1"/>
        <v>0</v>
      </c>
      <c r="BT17" s="999">
        <f t="shared" si="14"/>
        <v>0</v>
      </c>
      <c r="BU17" s="999"/>
      <c r="BV17" s="1006" t="str">
        <f t="shared" si="23"/>
        <v>*</v>
      </c>
      <c r="BW17" s="1006" t="str">
        <f t="shared" si="24"/>
        <v>*</v>
      </c>
      <c r="BX17" s="1015">
        <f t="shared" si="25"/>
        <v>0</v>
      </c>
      <c r="BZ17" s="999">
        <f t="shared" si="2"/>
        <v>0</v>
      </c>
      <c r="CA17" s="999" t="str">
        <f t="shared" si="15"/>
        <v/>
      </c>
      <c r="CC17" s="1071"/>
      <c r="CD17" s="1048"/>
      <c r="CE17" s="295" t="s">
        <v>1097</v>
      </c>
    </row>
    <row r="18" spans="1:83" x14ac:dyDescent="0.2">
      <c r="A18" s="1058" t="s">
        <v>1083</v>
      </c>
      <c r="B18" s="1052">
        <f>'MH Underwriting'!P20</f>
        <v>0</v>
      </c>
      <c r="C18" s="1059"/>
      <c r="D18" s="1076"/>
      <c r="E18" s="295"/>
      <c r="F18" s="295"/>
      <c r="G18" s="295"/>
      <c r="J18" s="1006"/>
      <c r="K18" s="1006"/>
      <c r="T18" s="1006"/>
      <c r="U18" s="1006"/>
      <c r="V18" s="1006"/>
      <c r="W18" s="1006"/>
      <c r="X18" s="1006"/>
      <c r="Y18" s="1006"/>
      <c r="Z18" s="1006">
        <f t="shared" si="16"/>
        <v>5</v>
      </c>
      <c r="AA18" s="1035"/>
      <c r="AC18" s="1035" t="str">
        <f>IF(AA18="","",AA18*'Tax Credit Calculations'!$X$32)</f>
        <v/>
      </c>
      <c r="AD18" s="295"/>
      <c r="AE18" s="1030">
        <f t="shared" si="17"/>
        <v>0</v>
      </c>
      <c r="AG18" s="1030" t="str">
        <f t="shared" si="18"/>
        <v xml:space="preserve">  </v>
      </c>
      <c r="AH18" s="1068"/>
      <c r="AI18" s="1069"/>
      <c r="AK18" s="1069" t="str">
        <f>IF(AI18="","",AI18*'Tax Credit Calculations'!$V$32)</f>
        <v/>
      </c>
      <c r="AM18" s="1030" t="str">
        <f t="shared" si="19"/>
        <v xml:space="preserve">  </v>
      </c>
      <c r="AO18" s="1030" t="str">
        <f t="shared" si="20"/>
        <v xml:space="preserve">  </v>
      </c>
      <c r="AQ18" s="1017"/>
      <c r="AR18" s="999">
        <f t="shared" si="21"/>
        <v>5</v>
      </c>
      <c r="AS18" s="999">
        <f t="shared" si="3"/>
        <v>0</v>
      </c>
      <c r="AT18" s="999"/>
      <c r="AU18" s="999">
        <f t="shared" si="4"/>
        <v>0</v>
      </c>
      <c r="AV18" s="999"/>
      <c r="AW18" s="1070">
        <f t="shared" si="5"/>
        <v>0</v>
      </c>
      <c r="AX18" s="999"/>
      <c r="AY18" s="1059">
        <f t="shared" si="6"/>
        <v>0</v>
      </c>
      <c r="AZ18" s="999"/>
      <c r="BA18" s="1016">
        <f t="shared" si="7"/>
        <v>0</v>
      </c>
      <c r="BB18" s="1016"/>
      <c r="BC18" s="999">
        <f t="shared" si="8"/>
        <v>0</v>
      </c>
      <c r="BD18" s="1030"/>
      <c r="BE18" s="1003"/>
      <c r="BG18" s="1031">
        <f t="shared" si="26"/>
        <v>5</v>
      </c>
      <c r="BH18" s="1031"/>
      <c r="BI18" s="1016">
        <f t="shared" si="9"/>
        <v>0</v>
      </c>
      <c r="BJ18" s="1016"/>
      <c r="BK18" s="1016">
        <f t="shared" si="10"/>
        <v>0</v>
      </c>
      <c r="BN18" s="1006">
        <f t="shared" si="22"/>
        <v>5</v>
      </c>
      <c r="BO18" s="1070">
        <f t="shared" si="11"/>
        <v>0</v>
      </c>
      <c r="BP18" s="999">
        <f t="shared" si="0"/>
        <v>0</v>
      </c>
      <c r="BQ18" s="1070">
        <f t="shared" si="12"/>
        <v>0</v>
      </c>
      <c r="BR18" s="999">
        <f t="shared" si="13"/>
        <v>0</v>
      </c>
      <c r="BS18" s="1057">
        <f t="shared" si="1"/>
        <v>0</v>
      </c>
      <c r="BT18" s="999">
        <f t="shared" si="14"/>
        <v>0</v>
      </c>
      <c r="BU18" s="999"/>
      <c r="BV18" s="1006" t="str">
        <f t="shared" si="23"/>
        <v>*</v>
      </c>
      <c r="BW18" s="1006" t="str">
        <f t="shared" si="24"/>
        <v>*</v>
      </c>
      <c r="BX18" s="1015">
        <f t="shared" si="25"/>
        <v>0</v>
      </c>
      <c r="BZ18" s="999">
        <f t="shared" si="2"/>
        <v>0</v>
      </c>
      <c r="CA18" s="999" t="str">
        <f t="shared" si="15"/>
        <v/>
      </c>
      <c r="CC18" s="1071"/>
    </row>
    <row r="19" spans="1:83" x14ac:dyDescent="0.2">
      <c r="A19" s="1079" t="s">
        <v>1085</v>
      </c>
      <c r="B19" s="1038"/>
      <c r="C19" s="1080"/>
      <c r="D19" s="1035">
        <f>SUM(B12:B18)</f>
        <v>0</v>
      </c>
      <c r="E19" s="295"/>
      <c r="F19" s="295"/>
      <c r="G19" s="295"/>
      <c r="H19" s="1035">
        <f>D19</f>
        <v>0</v>
      </c>
      <c r="J19" s="1042" t="s">
        <v>1025</v>
      </c>
      <c r="K19" s="1006"/>
      <c r="L19" s="1038">
        <f>'Project Costs &amp; Basis'!S9</f>
        <v>0</v>
      </c>
      <c r="P19" s="1038">
        <f>IF('Project Information'!$L$4="Yes",L19,0)</f>
        <v>0</v>
      </c>
      <c r="R19" s="1038">
        <f>IF(P19=0,L19,0)</f>
        <v>0</v>
      </c>
      <c r="V19" s="1038">
        <f>IF($T$2="y",P19*1.3,P19)</f>
        <v>0</v>
      </c>
      <c r="W19" s="1006"/>
      <c r="X19" s="1038">
        <f>IF($T$2="y",R19*1.3,R19)</f>
        <v>0</v>
      </c>
      <c r="Y19" s="1006"/>
      <c r="Z19" s="1006">
        <f t="shared" si="16"/>
        <v>6</v>
      </c>
      <c r="AA19" s="1035"/>
      <c r="AC19" s="1035" t="str">
        <f>IF(AA19="","",AA19*'Tax Credit Calculations'!$X$32)</f>
        <v/>
      </c>
      <c r="AD19" s="295"/>
      <c r="AE19" s="1030">
        <f t="shared" si="17"/>
        <v>0</v>
      </c>
      <c r="AG19" s="1030" t="str">
        <f t="shared" si="18"/>
        <v xml:space="preserve">  </v>
      </c>
      <c r="AH19" s="1068"/>
      <c r="AI19" s="1069"/>
      <c r="AK19" s="1069" t="str">
        <f>IF(AI19="","",AI19*'Tax Credit Calculations'!$V$32)</f>
        <v/>
      </c>
      <c r="AM19" s="1030" t="str">
        <f t="shared" si="19"/>
        <v xml:space="preserve">  </v>
      </c>
      <c r="AO19" s="1030" t="str">
        <f t="shared" si="20"/>
        <v xml:space="preserve">  </v>
      </c>
      <c r="AQ19" s="1017"/>
      <c r="AR19" s="999">
        <f t="shared" si="21"/>
        <v>6</v>
      </c>
      <c r="AS19" s="999">
        <f t="shared" si="3"/>
        <v>0</v>
      </c>
      <c r="AT19" s="999"/>
      <c r="AU19" s="999">
        <f t="shared" si="4"/>
        <v>0</v>
      </c>
      <c r="AV19" s="999"/>
      <c r="AW19" s="1070">
        <f t="shared" si="5"/>
        <v>0</v>
      </c>
      <c r="AX19" s="999"/>
      <c r="AY19" s="1059">
        <f t="shared" si="6"/>
        <v>0</v>
      </c>
      <c r="AZ19" s="999"/>
      <c r="BA19" s="1016">
        <f t="shared" si="7"/>
        <v>0</v>
      </c>
      <c r="BB19" s="1016"/>
      <c r="BC19" s="999">
        <f t="shared" si="8"/>
        <v>0</v>
      </c>
      <c r="BD19" s="1030"/>
      <c r="BE19" s="1003"/>
      <c r="BG19" s="1031">
        <f t="shared" si="26"/>
        <v>6</v>
      </c>
      <c r="BH19" s="1031"/>
      <c r="BI19" s="1016">
        <f t="shared" si="9"/>
        <v>0</v>
      </c>
      <c r="BJ19" s="1016"/>
      <c r="BK19" s="1016">
        <f t="shared" si="10"/>
        <v>0</v>
      </c>
      <c r="BN19" s="1006">
        <f t="shared" si="22"/>
        <v>6</v>
      </c>
      <c r="BO19" s="1070">
        <f t="shared" si="11"/>
        <v>0</v>
      </c>
      <c r="BP19" s="999">
        <f t="shared" si="0"/>
        <v>0</v>
      </c>
      <c r="BQ19" s="1070">
        <f t="shared" si="12"/>
        <v>0</v>
      </c>
      <c r="BR19" s="999">
        <f t="shared" si="13"/>
        <v>0</v>
      </c>
      <c r="BS19" s="1057">
        <f t="shared" si="1"/>
        <v>0</v>
      </c>
      <c r="BT19" s="999">
        <f t="shared" si="14"/>
        <v>0</v>
      </c>
      <c r="BU19" s="999"/>
      <c r="BV19" s="1006" t="str">
        <f t="shared" si="23"/>
        <v>*</v>
      </c>
      <c r="BW19" s="1006" t="str">
        <f t="shared" si="24"/>
        <v>*</v>
      </c>
      <c r="BX19" s="1015">
        <f t="shared" si="25"/>
        <v>0</v>
      </c>
      <c r="BZ19" s="999">
        <f t="shared" si="2"/>
        <v>0</v>
      </c>
      <c r="CA19" s="999" t="str">
        <f t="shared" si="15"/>
        <v/>
      </c>
      <c r="CC19" s="1071"/>
    </row>
    <row r="20" spans="1:83" x14ac:dyDescent="0.2">
      <c r="A20" s="58" t="s">
        <v>449</v>
      </c>
      <c r="D20" s="1035">
        <f>'MH Underwriting'!P23</f>
        <v>0</v>
      </c>
      <c r="E20" s="295"/>
      <c r="F20" s="295"/>
      <c r="G20" s="295"/>
      <c r="H20" s="1036">
        <f t="shared" ref="H20:H50" si="27">D20</f>
        <v>0</v>
      </c>
      <c r="J20" s="1042" t="s">
        <v>1025</v>
      </c>
      <c r="K20" s="1006"/>
      <c r="L20" s="1038">
        <f>'Project Costs &amp; Basis'!S13+'Project Costs &amp; Basis'!Q13</f>
        <v>0</v>
      </c>
      <c r="N20" s="1038">
        <f>'Project Costs &amp; Basis'!Q13</f>
        <v>0</v>
      </c>
      <c r="P20" s="1038">
        <f>IF('Project Information'!$L$4="Yes",L20-N20,0)</f>
        <v>0</v>
      </c>
      <c r="R20" s="1038">
        <f t="shared" ref="R20:R50" si="28">IF(P20=0,L20-N20,0)</f>
        <v>0</v>
      </c>
      <c r="T20" s="1038">
        <f>N20</f>
        <v>0</v>
      </c>
      <c r="V20" s="1038">
        <f t="shared" ref="V20:V50" si="29">IF($T$2="y",P20*1.3,P20)</f>
        <v>0</v>
      </c>
      <c r="W20" s="1006"/>
      <c r="X20" s="1038">
        <f>IF($T$2="y",R20*1.3,R20)</f>
        <v>0</v>
      </c>
      <c r="Z20" s="1006">
        <f t="shared" si="16"/>
        <v>7</v>
      </c>
      <c r="AA20" s="1035"/>
      <c r="AC20" s="1035" t="str">
        <f>IF(AA20="","",AA20*'Tax Credit Calculations'!$X$32)</f>
        <v/>
      </c>
      <c r="AE20" s="1030">
        <f t="shared" si="17"/>
        <v>0</v>
      </c>
      <c r="AF20" s="1030"/>
      <c r="AG20" s="1030" t="str">
        <f t="shared" si="18"/>
        <v xml:space="preserve">  </v>
      </c>
      <c r="AH20" s="1068"/>
      <c r="AI20" s="1069"/>
      <c r="AK20" s="1069" t="str">
        <f>IF(AI20="","",AI20*'Tax Credit Calculations'!$V$32)</f>
        <v/>
      </c>
      <c r="AM20" s="1030" t="str">
        <f t="shared" si="19"/>
        <v xml:space="preserve">  </v>
      </c>
      <c r="AO20" s="1030" t="str">
        <f t="shared" si="20"/>
        <v xml:space="preserve">  </v>
      </c>
      <c r="AQ20" s="1017"/>
      <c r="AR20" s="999">
        <f t="shared" si="21"/>
        <v>7</v>
      </c>
      <c r="AS20" s="999">
        <f t="shared" si="3"/>
        <v>0</v>
      </c>
      <c r="AT20" s="999"/>
      <c r="AU20" s="999">
        <f t="shared" si="4"/>
        <v>0</v>
      </c>
      <c r="AV20" s="999"/>
      <c r="AW20" s="1070">
        <f t="shared" si="5"/>
        <v>0</v>
      </c>
      <c r="AX20" s="999"/>
      <c r="AY20" s="1059">
        <f t="shared" si="6"/>
        <v>0</v>
      </c>
      <c r="AZ20" s="999"/>
      <c r="BA20" s="1016">
        <f t="shared" si="7"/>
        <v>0</v>
      </c>
      <c r="BB20" s="1016"/>
      <c r="BC20" s="999">
        <f t="shared" si="8"/>
        <v>0</v>
      </c>
      <c r="BE20" s="1003"/>
      <c r="BF20" s="999"/>
      <c r="BG20" s="1031">
        <f t="shared" si="26"/>
        <v>7</v>
      </c>
      <c r="BH20" s="1031"/>
      <c r="BI20" s="1016">
        <f t="shared" si="9"/>
        <v>0</v>
      </c>
      <c r="BJ20" s="1016"/>
      <c r="BK20" s="1016">
        <f t="shared" si="10"/>
        <v>0</v>
      </c>
      <c r="BM20" s="1031"/>
      <c r="BN20" s="1006">
        <f t="shared" si="22"/>
        <v>7</v>
      </c>
      <c r="BO20" s="1070">
        <f t="shared" si="11"/>
        <v>0</v>
      </c>
      <c r="BP20" s="999">
        <f t="shared" si="0"/>
        <v>0</v>
      </c>
      <c r="BQ20" s="1070">
        <f t="shared" si="12"/>
        <v>0</v>
      </c>
      <c r="BR20" s="999">
        <f t="shared" si="13"/>
        <v>0</v>
      </c>
      <c r="BS20" s="1057">
        <f t="shared" si="1"/>
        <v>0</v>
      </c>
      <c r="BT20" s="999">
        <f t="shared" si="14"/>
        <v>0</v>
      </c>
      <c r="BU20" s="999"/>
      <c r="BV20" s="1006" t="str">
        <f t="shared" si="23"/>
        <v>*</v>
      </c>
      <c r="BW20" s="1006" t="str">
        <f t="shared" si="24"/>
        <v>*</v>
      </c>
      <c r="BX20" s="1015">
        <f t="shared" si="25"/>
        <v>0</v>
      </c>
      <c r="BZ20" s="999">
        <f t="shared" si="2"/>
        <v>0</v>
      </c>
      <c r="CA20" s="999" t="str">
        <f t="shared" si="15"/>
        <v/>
      </c>
      <c r="CC20" s="1071"/>
    </row>
    <row r="21" spans="1:83" x14ac:dyDescent="0.2">
      <c r="A21" s="58" t="s">
        <v>448</v>
      </c>
      <c r="D21" s="1035">
        <f>'MH Underwriting'!P24</f>
        <v>0</v>
      </c>
      <c r="E21" s="295"/>
      <c r="G21" s="295"/>
      <c r="H21" s="1036">
        <f t="shared" si="27"/>
        <v>0</v>
      </c>
      <c r="J21" s="1042" t="s">
        <v>1025</v>
      </c>
      <c r="K21" s="1006"/>
      <c r="L21" s="1038">
        <f>'Project Costs &amp; Basis'!S15+'Project Costs &amp; Basis'!Q15</f>
        <v>0</v>
      </c>
      <c r="N21" s="1038">
        <f>'Project Costs &amp; Basis'!Q15</f>
        <v>0</v>
      </c>
      <c r="P21" s="1038">
        <f>IF('Project Information'!$L$4="Yes",L21-N21,0)</f>
        <v>0</v>
      </c>
      <c r="R21" s="1038">
        <f t="shared" si="28"/>
        <v>0</v>
      </c>
      <c r="T21" s="1038">
        <f t="shared" ref="T21:T50" si="30">N21</f>
        <v>0</v>
      </c>
      <c r="V21" s="1038">
        <f t="shared" si="29"/>
        <v>0</v>
      </c>
      <c r="W21" s="1006"/>
      <c r="X21" s="1038">
        <f t="shared" ref="X21:X50" si="31">IF($T$2="y",R21*1.3,R21)</f>
        <v>0</v>
      </c>
      <c r="Z21" s="1006">
        <f t="shared" si="16"/>
        <v>8</v>
      </c>
      <c r="AA21" s="1035"/>
      <c r="AC21" s="1035" t="str">
        <f>IF(AA21="","",AA21*'Tax Credit Calculations'!$X$32)</f>
        <v/>
      </c>
      <c r="AE21" s="1030">
        <f t="shared" si="17"/>
        <v>0</v>
      </c>
      <c r="AF21" s="1030"/>
      <c r="AG21" s="1030" t="str">
        <f t="shared" si="18"/>
        <v xml:space="preserve">  </v>
      </c>
      <c r="AH21" s="1068"/>
      <c r="AI21" s="1069"/>
      <c r="AK21" s="1069" t="str">
        <f>IF(AI21="","",AI21*'Tax Credit Calculations'!$V$32)</f>
        <v/>
      </c>
      <c r="AM21" s="1030" t="str">
        <f t="shared" si="19"/>
        <v xml:space="preserve">  </v>
      </c>
      <c r="AO21" s="1030" t="str">
        <f t="shared" si="20"/>
        <v xml:space="preserve">  </v>
      </c>
      <c r="AQ21" s="1017"/>
      <c r="AR21" s="999">
        <f t="shared" si="21"/>
        <v>8</v>
      </c>
      <c r="AS21" s="999">
        <f t="shared" si="3"/>
        <v>0</v>
      </c>
      <c r="AT21" s="999"/>
      <c r="AU21" s="999">
        <f t="shared" si="4"/>
        <v>0</v>
      </c>
      <c r="AV21" s="999"/>
      <c r="AW21" s="1070">
        <f t="shared" si="5"/>
        <v>0</v>
      </c>
      <c r="AX21" s="999"/>
      <c r="AY21" s="1059">
        <f t="shared" si="6"/>
        <v>0</v>
      </c>
      <c r="AZ21" s="999"/>
      <c r="BA21" s="1016">
        <f t="shared" si="7"/>
        <v>0</v>
      </c>
      <c r="BB21" s="1016"/>
      <c r="BC21" s="999">
        <f t="shared" si="8"/>
        <v>0</v>
      </c>
      <c r="BD21" s="1030"/>
      <c r="BE21" s="1003"/>
      <c r="BG21" s="1031">
        <f t="shared" si="26"/>
        <v>8</v>
      </c>
      <c r="BH21" s="1031"/>
      <c r="BI21" s="1016">
        <f t="shared" si="9"/>
        <v>0</v>
      </c>
      <c r="BJ21" s="1016"/>
      <c r="BK21" s="1016">
        <f t="shared" si="10"/>
        <v>0</v>
      </c>
      <c r="BL21" s="1016"/>
      <c r="BN21" s="1006">
        <f t="shared" si="22"/>
        <v>8</v>
      </c>
      <c r="BO21" s="1070">
        <f t="shared" si="11"/>
        <v>0</v>
      </c>
      <c r="BP21" s="999">
        <f t="shared" si="0"/>
        <v>0</v>
      </c>
      <c r="BQ21" s="1070">
        <f t="shared" si="12"/>
        <v>0</v>
      </c>
      <c r="BR21" s="999">
        <f t="shared" si="13"/>
        <v>0</v>
      </c>
      <c r="BS21" s="1057">
        <f t="shared" si="1"/>
        <v>0</v>
      </c>
      <c r="BT21" s="999">
        <f t="shared" si="14"/>
        <v>0</v>
      </c>
      <c r="BU21" s="999"/>
      <c r="BV21" s="1006" t="str">
        <f t="shared" si="23"/>
        <v>*</v>
      </c>
      <c r="BW21" s="1006" t="str">
        <f t="shared" si="24"/>
        <v>*</v>
      </c>
      <c r="BX21" s="1015">
        <f t="shared" si="25"/>
        <v>0</v>
      </c>
      <c r="BZ21" s="999">
        <f t="shared" si="2"/>
        <v>0</v>
      </c>
      <c r="CA21" s="999" t="str">
        <f t="shared" si="15"/>
        <v/>
      </c>
      <c r="CC21" s="1071"/>
      <c r="CD21" s="1048"/>
      <c r="CE21" s="295" t="s">
        <v>1084</v>
      </c>
    </row>
    <row r="22" spans="1:83" x14ac:dyDescent="0.2">
      <c r="A22" s="58" t="s">
        <v>447</v>
      </c>
      <c r="D22" s="1035">
        <f>'MH Underwriting'!P25</f>
        <v>0</v>
      </c>
      <c r="E22" s="295"/>
      <c r="F22" s="1081" t="s">
        <v>1086</v>
      </c>
      <c r="G22" s="295"/>
      <c r="H22" s="1036">
        <f t="shared" si="27"/>
        <v>0</v>
      </c>
      <c r="J22" s="1042" t="s">
        <v>1025</v>
      </c>
      <c r="K22" s="1006"/>
      <c r="L22" s="1038">
        <f>'Project Costs &amp; Basis'!S17+'Project Costs &amp; Basis'!Q17</f>
        <v>0</v>
      </c>
      <c r="N22" s="1038">
        <f>'Project Costs &amp; Basis'!Q17</f>
        <v>0</v>
      </c>
      <c r="P22" s="1038">
        <f>IF('Project Information'!$L$4="Yes",L22-N22,0)</f>
        <v>0</v>
      </c>
      <c r="R22" s="1038">
        <f t="shared" si="28"/>
        <v>0</v>
      </c>
      <c r="T22" s="1038">
        <f t="shared" si="30"/>
        <v>0</v>
      </c>
      <c r="V22" s="1038">
        <f t="shared" si="29"/>
        <v>0</v>
      </c>
      <c r="W22" s="1006"/>
      <c r="X22" s="1038">
        <f t="shared" si="31"/>
        <v>0</v>
      </c>
      <c r="Z22" s="1006">
        <f t="shared" si="16"/>
        <v>9</v>
      </c>
      <c r="AA22" s="1035"/>
      <c r="AC22" s="1035" t="str">
        <f>IF(AA22="","",AA22*'Tax Credit Calculations'!$X$32)</f>
        <v/>
      </c>
      <c r="AE22" s="1030">
        <f t="shared" si="17"/>
        <v>0</v>
      </c>
      <c r="AF22" s="1030"/>
      <c r="AG22" s="1030" t="str">
        <f t="shared" si="18"/>
        <v xml:space="preserve">  </v>
      </c>
      <c r="AH22" s="1068"/>
      <c r="AI22" s="1069"/>
      <c r="AK22" s="1069" t="str">
        <f>IF(AI22="","",AI22*'Tax Credit Calculations'!$V$32)</f>
        <v/>
      </c>
      <c r="AM22" s="1030" t="str">
        <f t="shared" si="19"/>
        <v xml:space="preserve">  </v>
      </c>
      <c r="AO22" s="1030" t="str">
        <f t="shared" si="20"/>
        <v xml:space="preserve">  </v>
      </c>
      <c r="AQ22" s="1017"/>
      <c r="AR22" s="999">
        <f t="shared" si="21"/>
        <v>9</v>
      </c>
      <c r="AS22" s="999">
        <f t="shared" si="3"/>
        <v>0</v>
      </c>
      <c r="AT22" s="999"/>
      <c r="AU22" s="999">
        <f t="shared" si="4"/>
        <v>0</v>
      </c>
      <c r="AV22" s="999"/>
      <c r="AW22" s="1070">
        <f t="shared" si="5"/>
        <v>0</v>
      </c>
      <c r="AX22" s="999"/>
      <c r="AY22" s="1059">
        <f t="shared" si="6"/>
        <v>0</v>
      </c>
      <c r="AZ22" s="999"/>
      <c r="BA22" s="1016">
        <f t="shared" si="7"/>
        <v>0</v>
      </c>
      <c r="BB22" s="1016"/>
      <c r="BC22" s="999">
        <f t="shared" si="8"/>
        <v>0</v>
      </c>
      <c r="BE22" s="1003"/>
      <c r="BG22" s="1031">
        <f t="shared" si="26"/>
        <v>9</v>
      </c>
      <c r="BH22" s="1031"/>
      <c r="BI22" s="1016">
        <f t="shared" si="9"/>
        <v>0</v>
      </c>
      <c r="BJ22" s="1016"/>
      <c r="BK22" s="1016">
        <f t="shared" si="10"/>
        <v>0</v>
      </c>
      <c r="BL22" s="1016"/>
      <c r="BN22" s="1006">
        <f t="shared" si="22"/>
        <v>9</v>
      </c>
      <c r="BO22" s="1070">
        <f t="shared" si="11"/>
        <v>0</v>
      </c>
      <c r="BP22" s="999">
        <f t="shared" si="0"/>
        <v>0</v>
      </c>
      <c r="BQ22" s="1070">
        <f t="shared" si="12"/>
        <v>0</v>
      </c>
      <c r="BR22" s="999">
        <f t="shared" si="13"/>
        <v>0</v>
      </c>
      <c r="BS22" s="1057">
        <f t="shared" si="1"/>
        <v>0</v>
      </c>
      <c r="BT22" s="999">
        <f t="shared" si="14"/>
        <v>0</v>
      </c>
      <c r="BU22" s="999"/>
      <c r="BV22" s="1006" t="str">
        <f t="shared" si="23"/>
        <v>*</v>
      </c>
      <c r="BW22" s="1006" t="str">
        <f t="shared" si="24"/>
        <v>*</v>
      </c>
      <c r="BX22" s="1015">
        <f t="shared" si="25"/>
        <v>0</v>
      </c>
      <c r="BZ22" s="999">
        <f t="shared" si="2"/>
        <v>0</v>
      </c>
      <c r="CA22" s="999" t="str">
        <f t="shared" si="15"/>
        <v/>
      </c>
      <c r="CC22" s="1071"/>
    </row>
    <row r="23" spans="1:83" x14ac:dyDescent="0.2">
      <c r="A23" s="58" t="s">
        <v>446</v>
      </c>
      <c r="D23" s="1035">
        <f>'MH Underwriting'!P26</f>
        <v>0</v>
      </c>
      <c r="E23" s="295"/>
      <c r="F23" s="1082" t="s">
        <v>1088</v>
      </c>
      <c r="G23" s="295"/>
      <c r="H23" s="1036">
        <f t="shared" si="27"/>
        <v>0</v>
      </c>
      <c r="J23" s="1042" t="s">
        <v>1025</v>
      </c>
      <c r="K23" s="1006"/>
      <c r="L23" s="1038">
        <f>'Project Costs &amp; Basis'!S19+'Project Costs &amp; Basis'!Q19</f>
        <v>0</v>
      </c>
      <c r="N23" s="1038">
        <f>'Project Costs &amp; Basis'!Q19</f>
        <v>0</v>
      </c>
      <c r="P23" s="1038">
        <f>IF('Project Information'!$L$4="Yes",L23-N23,0)</f>
        <v>0</v>
      </c>
      <c r="R23" s="1038">
        <f t="shared" si="28"/>
        <v>0</v>
      </c>
      <c r="T23" s="1038">
        <f t="shared" si="30"/>
        <v>0</v>
      </c>
      <c r="V23" s="1038">
        <f t="shared" si="29"/>
        <v>0</v>
      </c>
      <c r="W23" s="1006"/>
      <c r="X23" s="1038">
        <f t="shared" si="31"/>
        <v>0</v>
      </c>
      <c r="Z23" s="1006">
        <f t="shared" si="16"/>
        <v>10</v>
      </c>
      <c r="AA23" s="1035"/>
      <c r="AC23" s="1035" t="str">
        <f>IF(AA23="","",AA23*'Tax Credit Calculations'!$X$32)</f>
        <v/>
      </c>
      <c r="AE23" s="1030">
        <f t="shared" si="17"/>
        <v>0</v>
      </c>
      <c r="AF23" s="1030"/>
      <c r="AG23" s="1030" t="str">
        <f t="shared" si="18"/>
        <v xml:space="preserve">  </v>
      </c>
      <c r="AH23" s="1068"/>
      <c r="AI23" s="1069"/>
      <c r="AK23" s="1069" t="str">
        <f>IF(AI23="","",AI23*'Tax Credit Calculations'!$V$32)</f>
        <v/>
      </c>
      <c r="AM23" s="1030" t="str">
        <f t="shared" si="19"/>
        <v xml:space="preserve">  </v>
      </c>
      <c r="AO23" s="1030" t="str">
        <f t="shared" si="20"/>
        <v xml:space="preserve">  </v>
      </c>
      <c r="AP23" s="1016"/>
      <c r="AQ23" s="1017"/>
      <c r="AR23" s="999">
        <f t="shared" si="21"/>
        <v>10</v>
      </c>
      <c r="AS23" s="999">
        <f t="shared" si="3"/>
        <v>0</v>
      </c>
      <c r="AT23" s="999"/>
      <c r="AU23" s="999">
        <f t="shared" si="4"/>
        <v>0</v>
      </c>
      <c r="AV23" s="999"/>
      <c r="AW23" s="1070">
        <f t="shared" si="5"/>
        <v>0</v>
      </c>
      <c r="AX23" s="999"/>
      <c r="AY23" s="1059">
        <f t="shared" si="6"/>
        <v>0</v>
      </c>
      <c r="AZ23" s="999"/>
      <c r="BA23" s="1016">
        <f t="shared" si="7"/>
        <v>0</v>
      </c>
      <c r="BB23" s="1016"/>
      <c r="BC23" s="999">
        <f t="shared" si="8"/>
        <v>0</v>
      </c>
      <c r="BE23" s="1017"/>
      <c r="BF23" s="999"/>
      <c r="BG23" s="1031">
        <f t="shared" si="26"/>
        <v>10</v>
      </c>
      <c r="BH23" s="1031"/>
      <c r="BI23" s="1016">
        <f t="shared" si="9"/>
        <v>0</v>
      </c>
      <c r="BJ23" s="1016"/>
      <c r="BK23" s="1016">
        <f t="shared" si="10"/>
        <v>0</v>
      </c>
      <c r="BL23" s="1083"/>
      <c r="BN23" s="1006">
        <f t="shared" si="22"/>
        <v>10</v>
      </c>
      <c r="BO23" s="1070">
        <f t="shared" si="11"/>
        <v>0</v>
      </c>
      <c r="BP23" s="999">
        <f t="shared" si="0"/>
        <v>0</v>
      </c>
      <c r="BQ23" s="1070">
        <f t="shared" si="12"/>
        <v>0</v>
      </c>
      <c r="BR23" s="999">
        <f t="shared" si="13"/>
        <v>0</v>
      </c>
      <c r="BS23" s="1057">
        <f t="shared" si="1"/>
        <v>0</v>
      </c>
      <c r="BT23" s="999">
        <f t="shared" si="14"/>
        <v>0</v>
      </c>
      <c r="BU23" s="999"/>
      <c r="BV23" s="1006" t="str">
        <f t="shared" si="23"/>
        <v>*</v>
      </c>
      <c r="BW23" s="1006" t="str">
        <f t="shared" si="24"/>
        <v>*</v>
      </c>
      <c r="BX23" s="1015">
        <f t="shared" si="25"/>
        <v>0</v>
      </c>
      <c r="BZ23" s="999">
        <f t="shared" si="2"/>
        <v>0</v>
      </c>
      <c r="CA23" s="999" t="str">
        <f t="shared" si="15"/>
        <v/>
      </c>
      <c r="CC23" s="1071"/>
    </row>
    <row r="24" spans="1:83" x14ac:dyDescent="0.2">
      <c r="A24" s="58" t="s">
        <v>445</v>
      </c>
      <c r="D24" s="1035">
        <f>'MH Underwriting'!P27</f>
        <v>0</v>
      </c>
      <c r="E24" s="295"/>
      <c r="F24" s="1084" t="s">
        <v>1089</v>
      </c>
      <c r="G24" s="295"/>
      <c r="H24" s="1036">
        <f t="shared" si="27"/>
        <v>0</v>
      </c>
      <c r="J24" s="1042" t="s">
        <v>1025</v>
      </c>
      <c r="K24" s="1006"/>
      <c r="L24" s="1038">
        <f>'Project Costs &amp; Basis'!S21+'Project Costs &amp; Basis'!Q21</f>
        <v>0</v>
      </c>
      <c r="N24" s="1038">
        <f>'Project Costs &amp; Basis'!Q21</f>
        <v>0</v>
      </c>
      <c r="P24" s="1038">
        <f>IF('Project Information'!$L$4="Yes",L24-N24,0)</f>
        <v>0</v>
      </c>
      <c r="R24" s="1038">
        <f t="shared" si="28"/>
        <v>0</v>
      </c>
      <c r="T24" s="1038">
        <f t="shared" si="30"/>
        <v>0</v>
      </c>
      <c r="V24" s="1038">
        <f t="shared" si="29"/>
        <v>0</v>
      </c>
      <c r="W24" s="1006"/>
      <c r="X24" s="1038">
        <f t="shared" si="31"/>
        <v>0</v>
      </c>
      <c r="Z24" s="1006">
        <f t="shared" si="16"/>
        <v>11</v>
      </c>
      <c r="AA24" s="1035"/>
      <c r="AC24" s="1035" t="str">
        <f>IF(AA24="","",AA24*'Tax Credit Calculations'!$X$32)</f>
        <v/>
      </c>
      <c r="AE24" s="1030">
        <f t="shared" si="17"/>
        <v>0</v>
      </c>
      <c r="AF24" s="1030"/>
      <c r="AG24" s="1030" t="str">
        <f t="shared" si="18"/>
        <v xml:space="preserve">  </v>
      </c>
      <c r="AH24" s="1068"/>
      <c r="AI24" s="1069"/>
      <c r="AK24" s="1069" t="str">
        <f>IF(AI24="","",AI24*'Tax Credit Calculations'!$V$32)</f>
        <v/>
      </c>
      <c r="AM24" s="1030" t="str">
        <f t="shared" si="19"/>
        <v xml:space="preserve">  </v>
      </c>
      <c r="AO24" s="1030" t="str">
        <f t="shared" si="20"/>
        <v xml:space="preserve">  </v>
      </c>
      <c r="AP24" s="1016"/>
      <c r="AQ24" s="1017"/>
      <c r="AR24" s="999">
        <f t="shared" si="21"/>
        <v>11</v>
      </c>
      <c r="AS24" s="999">
        <f t="shared" si="3"/>
        <v>0</v>
      </c>
      <c r="AT24" s="999"/>
      <c r="AU24" s="999">
        <f t="shared" si="4"/>
        <v>0</v>
      </c>
      <c r="AV24" s="999"/>
      <c r="AW24" s="1070">
        <f t="shared" si="5"/>
        <v>0</v>
      </c>
      <c r="AX24" s="999"/>
      <c r="AY24" s="1059">
        <f t="shared" si="6"/>
        <v>0</v>
      </c>
      <c r="AZ24" s="999"/>
      <c r="BA24" s="1016">
        <f t="shared" si="7"/>
        <v>0</v>
      </c>
      <c r="BB24" s="1016"/>
      <c r="BC24" s="999">
        <f t="shared" si="8"/>
        <v>0</v>
      </c>
      <c r="BD24" s="1016"/>
      <c r="BE24" s="1017"/>
      <c r="BG24" s="1031">
        <f t="shared" si="26"/>
        <v>11</v>
      </c>
      <c r="BH24" s="1031"/>
      <c r="BI24" s="1016">
        <f t="shared" si="9"/>
        <v>0</v>
      </c>
      <c r="BJ24" s="1016"/>
      <c r="BK24" s="1016">
        <f t="shared" si="10"/>
        <v>0</v>
      </c>
      <c r="BL24" s="1016"/>
      <c r="BN24" s="1006">
        <f t="shared" si="22"/>
        <v>11</v>
      </c>
      <c r="BO24" s="1070">
        <f t="shared" si="11"/>
        <v>0</v>
      </c>
      <c r="BP24" s="999">
        <f t="shared" si="0"/>
        <v>0</v>
      </c>
      <c r="BQ24" s="1070">
        <f t="shared" si="12"/>
        <v>0</v>
      </c>
      <c r="BR24" s="999">
        <f t="shared" si="13"/>
        <v>0</v>
      </c>
      <c r="BS24" s="1057">
        <f t="shared" si="1"/>
        <v>0</v>
      </c>
      <c r="BT24" s="999">
        <f t="shared" si="14"/>
        <v>0</v>
      </c>
      <c r="BU24" s="999"/>
      <c r="BV24" s="1006" t="str">
        <f t="shared" si="23"/>
        <v>*</v>
      </c>
      <c r="BW24" s="1006" t="str">
        <f t="shared" si="24"/>
        <v>*</v>
      </c>
      <c r="BX24" s="1015">
        <f t="shared" si="25"/>
        <v>0</v>
      </c>
      <c r="BZ24" s="999">
        <f t="shared" si="2"/>
        <v>0</v>
      </c>
      <c r="CA24" s="999" t="str">
        <f t="shared" si="15"/>
        <v/>
      </c>
      <c r="CC24" s="1071"/>
    </row>
    <row r="25" spans="1:83" x14ac:dyDescent="0.2">
      <c r="A25" s="58" t="s">
        <v>444</v>
      </c>
      <c r="D25" s="1035">
        <f>'MH Underwriting'!P28</f>
        <v>0</v>
      </c>
      <c r="E25" s="295"/>
      <c r="F25" s="1084">
        <f>IF($B$4&lt;&gt;2,($D$51-($D$48+$D$49)),0)</f>
        <v>0</v>
      </c>
      <c r="G25" s="295"/>
      <c r="H25" s="1036">
        <f t="shared" si="27"/>
        <v>0</v>
      </c>
      <c r="J25" s="1042" t="s">
        <v>1025</v>
      </c>
      <c r="K25" s="1006"/>
      <c r="L25" s="1038">
        <f>'Project Costs &amp; Basis'!S23+'Project Costs &amp; Basis'!Q23</f>
        <v>0</v>
      </c>
      <c r="N25" s="1038">
        <f>'Project Costs &amp; Basis'!Q23</f>
        <v>0</v>
      </c>
      <c r="P25" s="1038">
        <f>IF('Project Information'!$L$4="Yes",L25-N25,0)</f>
        <v>0</v>
      </c>
      <c r="R25" s="1038">
        <f t="shared" si="28"/>
        <v>0</v>
      </c>
      <c r="T25" s="1038">
        <f t="shared" si="30"/>
        <v>0</v>
      </c>
      <c r="V25" s="1038">
        <f t="shared" si="29"/>
        <v>0</v>
      </c>
      <c r="W25" s="1006"/>
      <c r="X25" s="1038">
        <f t="shared" si="31"/>
        <v>0</v>
      </c>
      <c r="Z25" s="1006">
        <f t="shared" si="16"/>
        <v>12</v>
      </c>
      <c r="AA25" s="1035"/>
      <c r="AC25" s="1035" t="str">
        <f>IF(AA25="","",AA25*'Tax Credit Calculations'!$X$32)</f>
        <v/>
      </c>
      <c r="AE25" s="1030">
        <f t="shared" si="17"/>
        <v>0</v>
      </c>
      <c r="AF25" s="1030"/>
      <c r="AG25" s="1030" t="str">
        <f t="shared" si="18"/>
        <v xml:space="preserve">  </v>
      </c>
      <c r="AH25" s="1068"/>
      <c r="AI25" s="1069"/>
      <c r="AK25" s="1069" t="str">
        <f>IF(AI25="","",AI25*'Tax Credit Calculations'!$V$32)</f>
        <v/>
      </c>
      <c r="AM25" s="1030" t="str">
        <f t="shared" si="19"/>
        <v xml:space="preserve">  </v>
      </c>
      <c r="AO25" s="1030" t="str">
        <f t="shared" si="20"/>
        <v xml:space="preserve">  </v>
      </c>
      <c r="AP25" s="1016"/>
      <c r="AQ25" s="1017"/>
      <c r="AR25" s="999">
        <f t="shared" si="21"/>
        <v>12</v>
      </c>
      <c r="AS25" s="999">
        <f t="shared" si="3"/>
        <v>0</v>
      </c>
      <c r="AT25" s="999"/>
      <c r="AU25" s="999">
        <f t="shared" si="4"/>
        <v>0</v>
      </c>
      <c r="AV25" s="999"/>
      <c r="AW25" s="1070">
        <f t="shared" si="5"/>
        <v>0</v>
      </c>
      <c r="AX25" s="999"/>
      <c r="AY25" s="1059">
        <f t="shared" si="6"/>
        <v>0</v>
      </c>
      <c r="AZ25" s="999"/>
      <c r="BA25" s="1016">
        <f t="shared" si="7"/>
        <v>0</v>
      </c>
      <c r="BB25" s="1016"/>
      <c r="BC25" s="999">
        <f t="shared" si="8"/>
        <v>0</v>
      </c>
      <c r="BE25" s="1003"/>
      <c r="BG25" s="1031">
        <f t="shared" si="26"/>
        <v>12</v>
      </c>
      <c r="BH25" s="1031"/>
      <c r="BI25" s="1016">
        <f t="shared" si="9"/>
        <v>0</v>
      </c>
      <c r="BJ25" s="1016"/>
      <c r="BK25" s="1016">
        <f t="shared" si="10"/>
        <v>0</v>
      </c>
      <c r="BN25" s="1006">
        <f t="shared" si="22"/>
        <v>12</v>
      </c>
      <c r="BO25" s="1070">
        <f t="shared" si="11"/>
        <v>0</v>
      </c>
      <c r="BP25" s="999">
        <f t="shared" si="0"/>
        <v>0</v>
      </c>
      <c r="BQ25" s="1070">
        <f t="shared" si="12"/>
        <v>0</v>
      </c>
      <c r="BR25" s="999">
        <f t="shared" si="13"/>
        <v>0</v>
      </c>
      <c r="BS25" s="1057">
        <f t="shared" si="1"/>
        <v>0</v>
      </c>
      <c r="BT25" s="999">
        <f t="shared" si="14"/>
        <v>0</v>
      </c>
      <c r="BU25" s="999"/>
      <c r="BV25" s="1006" t="str">
        <f t="shared" si="23"/>
        <v>*</v>
      </c>
      <c r="BW25" s="1006" t="str">
        <f t="shared" si="24"/>
        <v>*</v>
      </c>
      <c r="BX25" s="1015">
        <f t="shared" si="25"/>
        <v>0</v>
      </c>
      <c r="BZ25" s="999">
        <f t="shared" si="2"/>
        <v>0</v>
      </c>
      <c r="CA25" s="999" t="str">
        <f t="shared" si="15"/>
        <v/>
      </c>
      <c r="CC25" s="1071"/>
      <c r="CD25" s="1048"/>
      <c r="CE25" s="295" t="s">
        <v>1087</v>
      </c>
    </row>
    <row r="26" spans="1:83" x14ac:dyDescent="0.2">
      <c r="A26" s="58" t="s">
        <v>443</v>
      </c>
      <c r="D26" s="1035">
        <f>'MH Underwriting'!P29</f>
        <v>0</v>
      </c>
      <c r="E26" s="295"/>
      <c r="F26" s="1085">
        <f>IF(B4&lt;&gt;2,0.15,0)</f>
        <v>0.15</v>
      </c>
      <c r="G26" s="295"/>
      <c r="H26" s="1036">
        <f t="shared" si="27"/>
        <v>0</v>
      </c>
      <c r="J26" s="1042" t="s">
        <v>1025</v>
      </c>
      <c r="K26" s="1006"/>
      <c r="L26" s="1038">
        <f>'Project Costs &amp; Basis'!S25+'Project Costs &amp; Basis'!Q25</f>
        <v>0</v>
      </c>
      <c r="N26" s="1038">
        <f>'Project Costs &amp; Basis'!Q25</f>
        <v>0</v>
      </c>
      <c r="P26" s="1038">
        <f>IF('Project Information'!$L$4="Yes",L26-N26,0)</f>
        <v>0</v>
      </c>
      <c r="R26" s="1038">
        <f t="shared" si="28"/>
        <v>0</v>
      </c>
      <c r="T26" s="1038">
        <f t="shared" si="30"/>
        <v>0</v>
      </c>
      <c r="V26" s="1038">
        <f t="shared" si="29"/>
        <v>0</v>
      </c>
      <c r="W26" s="1006"/>
      <c r="X26" s="1038">
        <f t="shared" si="31"/>
        <v>0</v>
      </c>
      <c r="Z26" s="1006">
        <f t="shared" si="16"/>
        <v>13</v>
      </c>
      <c r="AA26" s="1035"/>
      <c r="AC26" s="1035" t="str">
        <f>IF(AA26="","",AA26*'Tax Credit Calculations'!$X$32)</f>
        <v/>
      </c>
      <c r="AE26" s="1030">
        <f t="shared" si="17"/>
        <v>0</v>
      </c>
      <c r="AF26" s="1030"/>
      <c r="AG26" s="1030" t="str">
        <f t="shared" si="18"/>
        <v xml:space="preserve">  </v>
      </c>
      <c r="AH26" s="1068"/>
      <c r="AI26" s="1069"/>
      <c r="AK26" s="1069" t="str">
        <f>IF(AI26="","",AI26*'Tax Credit Calculations'!$V$32)</f>
        <v/>
      </c>
      <c r="AM26" s="1030" t="str">
        <f t="shared" si="19"/>
        <v xml:space="preserve">  </v>
      </c>
      <c r="AO26" s="1030" t="str">
        <f t="shared" si="20"/>
        <v xml:space="preserve">  </v>
      </c>
      <c r="AP26" s="1016"/>
      <c r="AQ26" s="1017"/>
      <c r="AR26" s="999">
        <f t="shared" si="21"/>
        <v>13</v>
      </c>
      <c r="AS26" s="999">
        <f t="shared" si="3"/>
        <v>0</v>
      </c>
      <c r="AT26" s="999"/>
      <c r="AU26" s="999">
        <f t="shared" si="4"/>
        <v>0</v>
      </c>
      <c r="AV26" s="999"/>
      <c r="AW26" s="1070">
        <f t="shared" si="5"/>
        <v>0</v>
      </c>
      <c r="AX26" s="999"/>
      <c r="AY26" s="1059">
        <f t="shared" si="6"/>
        <v>0</v>
      </c>
      <c r="AZ26" s="999"/>
      <c r="BA26" s="1016">
        <f t="shared" si="7"/>
        <v>0</v>
      </c>
      <c r="BB26" s="1016"/>
      <c r="BC26" s="999">
        <f t="shared" si="8"/>
        <v>0</v>
      </c>
      <c r="BE26" s="1003"/>
      <c r="BF26" s="999"/>
      <c r="BG26" s="1031">
        <f t="shared" si="26"/>
        <v>13</v>
      </c>
      <c r="BH26" s="1031"/>
      <c r="BI26" s="1016">
        <f t="shared" si="9"/>
        <v>0</v>
      </c>
      <c r="BJ26" s="1016"/>
      <c r="BK26" s="1016">
        <f t="shared" si="10"/>
        <v>0</v>
      </c>
      <c r="BN26" s="1006">
        <f t="shared" si="22"/>
        <v>13</v>
      </c>
      <c r="BO26" s="1070">
        <f t="shared" si="11"/>
        <v>0</v>
      </c>
      <c r="BP26" s="999">
        <f t="shared" si="0"/>
        <v>0</v>
      </c>
      <c r="BQ26" s="1070">
        <f t="shared" si="12"/>
        <v>0</v>
      </c>
      <c r="BR26" s="999">
        <f t="shared" si="13"/>
        <v>0</v>
      </c>
      <c r="BS26" s="1057">
        <f t="shared" si="1"/>
        <v>0</v>
      </c>
      <c r="BT26" s="999">
        <f t="shared" si="14"/>
        <v>0</v>
      </c>
      <c r="BU26" s="999"/>
      <c r="BV26" s="1006" t="str">
        <f t="shared" si="23"/>
        <v>*</v>
      </c>
      <c r="BW26" s="1006" t="str">
        <f t="shared" si="24"/>
        <v>*</v>
      </c>
      <c r="BX26" s="1015">
        <f t="shared" si="25"/>
        <v>0</v>
      </c>
      <c r="BZ26" s="999">
        <f t="shared" si="2"/>
        <v>0</v>
      </c>
      <c r="CA26" s="999" t="str">
        <f t="shared" si="15"/>
        <v/>
      </c>
      <c r="CC26" s="1071"/>
    </row>
    <row r="27" spans="1:83" x14ac:dyDescent="0.2">
      <c r="A27" s="58" t="s">
        <v>442</v>
      </c>
      <c r="D27" s="1035">
        <f>'MH Underwriting'!P30</f>
        <v>0</v>
      </c>
      <c r="E27" s="295"/>
      <c r="F27" s="1084">
        <f>IF(F25&gt;0,F25*F26,0)</f>
        <v>0</v>
      </c>
      <c r="G27" s="295"/>
      <c r="H27" s="1036">
        <f t="shared" si="27"/>
        <v>0</v>
      </c>
      <c r="J27" s="1042" t="s">
        <v>1025</v>
      </c>
      <c r="K27" s="1006"/>
      <c r="L27" s="1038">
        <f>'Project Costs &amp; Basis'!S27+'Project Costs &amp; Basis'!Q27</f>
        <v>0</v>
      </c>
      <c r="N27" s="1038">
        <f>'Project Costs &amp; Basis'!Q27</f>
        <v>0</v>
      </c>
      <c r="P27" s="1038">
        <f>IF('Project Information'!$L$4="Yes",L27-N27,0)</f>
        <v>0</v>
      </c>
      <c r="R27" s="1038">
        <f t="shared" si="28"/>
        <v>0</v>
      </c>
      <c r="T27" s="1038">
        <f t="shared" si="30"/>
        <v>0</v>
      </c>
      <c r="V27" s="1038">
        <f t="shared" si="29"/>
        <v>0</v>
      </c>
      <c r="W27" s="1006"/>
      <c r="X27" s="1038">
        <f t="shared" si="31"/>
        <v>0</v>
      </c>
      <c r="Z27" s="1006">
        <f t="shared" si="16"/>
        <v>14</v>
      </c>
      <c r="AA27" s="1035"/>
      <c r="AC27" s="1035" t="str">
        <f>IF(AA27="","",AA27*'Tax Credit Calculations'!$X$32)</f>
        <v/>
      </c>
      <c r="AD27" s="295"/>
      <c r="AE27" s="1030">
        <f t="shared" si="17"/>
        <v>0</v>
      </c>
      <c r="AG27" s="1030" t="str">
        <f t="shared" si="18"/>
        <v xml:space="preserve">  </v>
      </c>
      <c r="AH27" s="1068"/>
      <c r="AI27" s="1069"/>
      <c r="AK27" s="1069" t="str">
        <f>IF(AI27="","",AI27*'Tax Credit Calculations'!$V$32)</f>
        <v/>
      </c>
      <c r="AM27" s="1030" t="str">
        <f t="shared" si="19"/>
        <v xml:space="preserve">  </v>
      </c>
      <c r="AO27" s="1030" t="str">
        <f t="shared" si="20"/>
        <v xml:space="preserve">  </v>
      </c>
      <c r="AP27" s="1016"/>
      <c r="AQ27" s="1017"/>
      <c r="AR27" s="999">
        <f t="shared" si="21"/>
        <v>14</v>
      </c>
      <c r="AS27" s="999">
        <f t="shared" si="3"/>
        <v>0</v>
      </c>
      <c r="AT27" s="999"/>
      <c r="AU27" s="999">
        <f t="shared" si="4"/>
        <v>0</v>
      </c>
      <c r="AV27" s="999"/>
      <c r="AW27" s="1070">
        <f t="shared" si="5"/>
        <v>0</v>
      </c>
      <c r="AX27" s="999"/>
      <c r="AY27" s="1059">
        <f t="shared" si="6"/>
        <v>0</v>
      </c>
      <c r="AZ27" s="999"/>
      <c r="BA27" s="1016">
        <f t="shared" si="7"/>
        <v>0</v>
      </c>
      <c r="BB27" s="1016"/>
      <c r="BC27" s="999">
        <f t="shared" si="8"/>
        <v>0</v>
      </c>
      <c r="BE27" s="1003"/>
      <c r="BG27" s="1031">
        <f t="shared" si="26"/>
        <v>14</v>
      </c>
      <c r="BH27" s="1031"/>
      <c r="BI27" s="1016">
        <f t="shared" si="9"/>
        <v>0</v>
      </c>
      <c r="BJ27" s="1016"/>
      <c r="BK27" s="1016">
        <f t="shared" si="10"/>
        <v>0</v>
      </c>
      <c r="BN27" s="1006">
        <f t="shared" si="22"/>
        <v>14</v>
      </c>
      <c r="BO27" s="1070">
        <f t="shared" si="11"/>
        <v>0</v>
      </c>
      <c r="BP27" s="999">
        <f t="shared" si="0"/>
        <v>0</v>
      </c>
      <c r="BQ27" s="1070">
        <f t="shared" si="12"/>
        <v>0</v>
      </c>
      <c r="BR27" s="999">
        <f t="shared" si="13"/>
        <v>0</v>
      </c>
      <c r="BS27" s="1057">
        <f t="shared" si="1"/>
        <v>0</v>
      </c>
      <c r="BT27" s="999">
        <f t="shared" si="14"/>
        <v>0</v>
      </c>
      <c r="BU27" s="999"/>
      <c r="BV27" s="1006" t="str">
        <f t="shared" si="23"/>
        <v>*</v>
      </c>
      <c r="BW27" s="1006" t="str">
        <f t="shared" si="24"/>
        <v>*</v>
      </c>
      <c r="BX27" s="1015">
        <f t="shared" si="25"/>
        <v>0</v>
      </c>
      <c r="BZ27" s="999">
        <f t="shared" si="2"/>
        <v>0</v>
      </c>
      <c r="CA27" s="999" t="str">
        <f t="shared" si="15"/>
        <v/>
      </c>
      <c r="CC27" s="1071"/>
    </row>
    <row r="28" spans="1:83" x14ac:dyDescent="0.2">
      <c r="A28" s="58" t="s">
        <v>226</v>
      </c>
      <c r="D28" s="1035">
        <f>'MH Underwriting'!P31</f>
        <v>0</v>
      </c>
      <c r="E28" s="295"/>
      <c r="F28" s="1086">
        <v>2</v>
      </c>
      <c r="G28" s="295"/>
      <c r="H28" s="1036">
        <f t="shared" si="27"/>
        <v>0</v>
      </c>
      <c r="J28" s="1042" t="s">
        <v>1048</v>
      </c>
      <c r="K28" s="1006"/>
      <c r="L28" s="1038">
        <f>'Project Costs &amp; Basis'!S29+'Project Costs &amp; Basis'!Q29</f>
        <v>0</v>
      </c>
      <c r="N28" s="1038">
        <f>'Project Costs &amp; Basis'!Q29</f>
        <v>0</v>
      </c>
      <c r="P28" s="1038">
        <f>IF('Project Information'!$L$4="Yes",L28-N28,0)</f>
        <v>0</v>
      </c>
      <c r="R28" s="1038">
        <f t="shared" si="28"/>
        <v>0</v>
      </c>
      <c r="T28" s="1038">
        <f t="shared" si="30"/>
        <v>0</v>
      </c>
      <c r="V28" s="1038">
        <f t="shared" si="29"/>
        <v>0</v>
      </c>
      <c r="W28" s="1006"/>
      <c r="X28" s="1038">
        <f t="shared" si="31"/>
        <v>0</v>
      </c>
      <c r="Z28" s="1006">
        <f t="shared" si="16"/>
        <v>15</v>
      </c>
      <c r="AA28" s="1035"/>
      <c r="AC28" s="1035" t="str">
        <f>IF(AA28="","",AA28*'Tax Credit Calculations'!$X$32)</f>
        <v/>
      </c>
      <c r="AD28" s="295"/>
      <c r="AE28" s="1030">
        <f t="shared" si="17"/>
        <v>0</v>
      </c>
      <c r="AG28" s="1030" t="str">
        <f t="shared" si="18"/>
        <v xml:space="preserve">  </v>
      </c>
      <c r="AH28" s="1068"/>
      <c r="AI28" s="1069"/>
      <c r="AK28" s="1069" t="str">
        <f>IF(AI28="","",AI28*'Tax Credit Calculations'!$V$32)</f>
        <v/>
      </c>
      <c r="AM28" s="1030" t="str">
        <f t="shared" si="19"/>
        <v xml:space="preserve">  </v>
      </c>
      <c r="AO28" s="1030" t="str">
        <f t="shared" si="20"/>
        <v xml:space="preserve">  </v>
      </c>
      <c r="AQ28" s="1070"/>
      <c r="AR28" s="999">
        <f t="shared" si="21"/>
        <v>15</v>
      </c>
      <c r="AS28" s="999">
        <f t="shared" si="3"/>
        <v>0</v>
      </c>
      <c r="AT28" s="999"/>
      <c r="AU28" s="999">
        <f t="shared" si="4"/>
        <v>0</v>
      </c>
      <c r="AV28" s="999"/>
      <c r="AW28" s="1070">
        <f t="shared" si="5"/>
        <v>0</v>
      </c>
      <c r="AX28" s="999"/>
      <c r="AY28" s="1059">
        <f t="shared" si="6"/>
        <v>0</v>
      </c>
      <c r="AZ28" s="999"/>
      <c r="BA28" s="1016">
        <f t="shared" si="7"/>
        <v>0</v>
      </c>
      <c r="BB28" s="1016"/>
      <c r="BC28" s="999">
        <f t="shared" si="8"/>
        <v>0</v>
      </c>
      <c r="BE28" s="1003"/>
      <c r="BG28" s="1031">
        <f t="shared" si="26"/>
        <v>15</v>
      </c>
      <c r="BH28" s="1031"/>
      <c r="BI28" s="1016">
        <f t="shared" si="9"/>
        <v>0</v>
      </c>
      <c r="BJ28" s="1016"/>
      <c r="BK28" s="1016">
        <f t="shared" si="10"/>
        <v>0</v>
      </c>
      <c r="BN28" s="1006">
        <f t="shared" si="22"/>
        <v>15</v>
      </c>
      <c r="BO28" s="1070">
        <f t="shared" si="11"/>
        <v>0</v>
      </c>
      <c r="BP28" s="999">
        <f t="shared" si="0"/>
        <v>0</v>
      </c>
      <c r="BQ28" s="1070">
        <f t="shared" si="12"/>
        <v>0</v>
      </c>
      <c r="BR28" s="999">
        <f t="shared" si="13"/>
        <v>0</v>
      </c>
      <c r="BS28" s="1057">
        <f t="shared" si="1"/>
        <v>0</v>
      </c>
      <c r="BT28" s="999">
        <f t="shared" si="14"/>
        <v>0</v>
      </c>
      <c r="BU28" s="999"/>
      <c r="BV28" s="1006" t="str">
        <f t="shared" si="23"/>
        <v>*</v>
      </c>
      <c r="BW28" s="1006" t="str">
        <f t="shared" si="24"/>
        <v>*</v>
      </c>
      <c r="BX28" s="1015">
        <f t="shared" si="25"/>
        <v>0</v>
      </c>
      <c r="BZ28" s="999">
        <f t="shared" si="2"/>
        <v>0</v>
      </c>
      <c r="CA28" s="999" t="str">
        <f t="shared" si="15"/>
        <v/>
      </c>
      <c r="CC28" s="1071"/>
    </row>
    <row r="29" spans="1:83" x14ac:dyDescent="0.2">
      <c r="A29" s="58" t="s">
        <v>440</v>
      </c>
      <c r="D29" s="1035">
        <f>'MH Underwriting'!P34</f>
        <v>0</v>
      </c>
      <c r="E29" s="295"/>
      <c r="F29" s="1087" t="s">
        <v>1091</v>
      </c>
      <c r="G29" s="295"/>
      <c r="H29" s="1036">
        <f t="shared" si="27"/>
        <v>0</v>
      </c>
      <c r="J29" s="1042" t="s">
        <v>1025</v>
      </c>
      <c r="K29" s="1006"/>
      <c r="L29" s="1038">
        <f>'Project Costs &amp; Basis'!S38+'Project Costs &amp; Basis'!Q38</f>
        <v>0</v>
      </c>
      <c r="N29" s="1038">
        <f>'Project Costs &amp; Basis'!Q38</f>
        <v>0</v>
      </c>
      <c r="P29" s="1038">
        <f>IF('Project Information'!$L$4="Yes",L29-N29,0)</f>
        <v>0</v>
      </c>
      <c r="R29" s="1038">
        <f t="shared" si="28"/>
        <v>0</v>
      </c>
      <c r="T29" s="1038">
        <f t="shared" si="30"/>
        <v>0</v>
      </c>
      <c r="V29" s="1038">
        <f t="shared" si="29"/>
        <v>0</v>
      </c>
      <c r="W29" s="1006"/>
      <c r="X29" s="1038">
        <f t="shared" si="31"/>
        <v>0</v>
      </c>
      <c r="Z29" s="1006">
        <f t="shared" si="16"/>
        <v>16</v>
      </c>
      <c r="AA29" s="1035"/>
      <c r="AC29" s="1035" t="str">
        <f>IF(AA29="","",AA29*'Tax Credit Calculations'!$X$32)</f>
        <v/>
      </c>
      <c r="AD29" s="295"/>
      <c r="AE29" s="1030">
        <f t="shared" si="17"/>
        <v>0</v>
      </c>
      <c r="AG29" s="1030" t="str">
        <f t="shared" si="18"/>
        <v xml:space="preserve">  </v>
      </c>
      <c r="AH29" s="1068"/>
      <c r="AI29" s="1069"/>
      <c r="AK29" s="1069" t="str">
        <f>IF(AI29="","",AI29*'Tax Credit Calculations'!$V$32)</f>
        <v/>
      </c>
      <c r="AM29" s="1030" t="str">
        <f t="shared" si="19"/>
        <v xml:space="preserve">  </v>
      </c>
      <c r="AO29" s="1030" t="str">
        <f t="shared" si="20"/>
        <v xml:space="preserve">  </v>
      </c>
      <c r="AP29" s="1030"/>
      <c r="AQ29" s="1003"/>
      <c r="AR29" s="999">
        <f t="shared" si="21"/>
        <v>16</v>
      </c>
      <c r="AS29" s="999">
        <f t="shared" si="3"/>
        <v>0</v>
      </c>
      <c r="AT29" s="999"/>
      <c r="AU29" s="999">
        <f t="shared" si="4"/>
        <v>0</v>
      </c>
      <c r="AV29" s="999"/>
      <c r="AW29" s="1070">
        <f t="shared" si="5"/>
        <v>0</v>
      </c>
      <c r="AX29" s="999"/>
      <c r="AY29" s="1059">
        <f t="shared" si="6"/>
        <v>0</v>
      </c>
      <c r="AZ29" s="999"/>
      <c r="BA29" s="1016">
        <f t="shared" si="7"/>
        <v>0</v>
      </c>
      <c r="BB29" s="1016"/>
      <c r="BC29" s="999">
        <f t="shared" si="8"/>
        <v>0</v>
      </c>
      <c r="BE29" s="1003"/>
      <c r="BF29" s="999"/>
      <c r="BG29" s="1031">
        <f t="shared" si="26"/>
        <v>16</v>
      </c>
      <c r="BH29" s="1031"/>
      <c r="BI29" s="1016">
        <f t="shared" si="9"/>
        <v>0</v>
      </c>
      <c r="BJ29" s="1016"/>
      <c r="BK29" s="1016">
        <f t="shared" si="10"/>
        <v>0</v>
      </c>
      <c r="BN29" s="1006">
        <f t="shared" si="22"/>
        <v>16</v>
      </c>
      <c r="BO29" s="1070">
        <f t="shared" si="11"/>
        <v>0</v>
      </c>
      <c r="BP29" s="999">
        <f t="shared" si="0"/>
        <v>0</v>
      </c>
      <c r="BQ29" s="1070">
        <f t="shared" si="12"/>
        <v>0</v>
      </c>
      <c r="BR29" s="999">
        <f t="shared" si="13"/>
        <v>0</v>
      </c>
      <c r="BS29" s="1057">
        <f t="shared" si="1"/>
        <v>0</v>
      </c>
      <c r="BT29" s="999">
        <f t="shared" si="14"/>
        <v>0</v>
      </c>
      <c r="BU29" s="999"/>
      <c r="BV29" s="1006" t="str">
        <f t="shared" si="23"/>
        <v>*</v>
      </c>
      <c r="BW29" s="1006" t="str">
        <f t="shared" si="24"/>
        <v>*</v>
      </c>
      <c r="BX29" s="1015">
        <f t="shared" si="25"/>
        <v>0</v>
      </c>
      <c r="BZ29" s="999">
        <f t="shared" si="2"/>
        <v>0</v>
      </c>
      <c r="CA29" s="999" t="str">
        <f t="shared" si="15"/>
        <v/>
      </c>
      <c r="CC29" s="1071"/>
      <c r="CD29" s="1048"/>
      <c r="CE29" s="295" t="s">
        <v>1090</v>
      </c>
    </row>
    <row r="30" spans="1:83" x14ac:dyDescent="0.2">
      <c r="A30" s="58" t="s">
        <v>439</v>
      </c>
      <c r="D30" s="1035">
        <f>'MH Underwriting'!P35</f>
        <v>0</v>
      </c>
      <c r="E30" s="295"/>
      <c r="F30" s="1084" t="s">
        <v>1089</v>
      </c>
      <c r="G30" s="295"/>
      <c r="H30" s="1036">
        <f t="shared" si="27"/>
        <v>0</v>
      </c>
      <c r="J30" s="1042" t="s">
        <v>1025</v>
      </c>
      <c r="K30" s="1006"/>
      <c r="L30" s="1038">
        <f>'Project Costs &amp; Basis'!S40+'Project Costs &amp; Basis'!Q40</f>
        <v>0</v>
      </c>
      <c r="N30" s="1038">
        <f>'Project Costs &amp; Basis'!Q40</f>
        <v>0</v>
      </c>
      <c r="P30" s="1038">
        <f>IF('Project Information'!$L$4="Yes",L30-N30,0)</f>
        <v>0</v>
      </c>
      <c r="R30" s="1038">
        <f t="shared" si="28"/>
        <v>0</v>
      </c>
      <c r="T30" s="1038">
        <f t="shared" si="30"/>
        <v>0</v>
      </c>
      <c r="V30" s="1038">
        <f t="shared" si="29"/>
        <v>0</v>
      </c>
      <c r="W30" s="1006"/>
      <c r="X30" s="1038">
        <f t="shared" si="31"/>
        <v>0</v>
      </c>
      <c r="Z30" s="1006">
        <f t="shared" si="16"/>
        <v>17</v>
      </c>
      <c r="AA30" s="1035"/>
      <c r="AC30" s="1035" t="str">
        <f>IF(AA30="","",AA30*'Tax Credit Calculations'!$X$32)</f>
        <v/>
      </c>
      <c r="AE30" s="1030">
        <f t="shared" si="17"/>
        <v>0</v>
      </c>
      <c r="AF30" s="1030"/>
      <c r="AG30" s="1030" t="str">
        <f t="shared" si="18"/>
        <v xml:space="preserve">  </v>
      </c>
      <c r="AH30" s="1068"/>
      <c r="AI30" s="1069"/>
      <c r="AK30" s="1069" t="str">
        <f>IF(AI30="","",AI30*'Tax Credit Calculations'!$V$32)</f>
        <v/>
      </c>
      <c r="AM30" s="1030" t="str">
        <f t="shared" si="19"/>
        <v xml:space="preserve">  </v>
      </c>
      <c r="AO30" s="1030" t="str">
        <f t="shared" si="20"/>
        <v xml:space="preserve">  </v>
      </c>
      <c r="AQ30" s="1070"/>
      <c r="AR30" s="999">
        <f t="shared" si="21"/>
        <v>17</v>
      </c>
      <c r="AS30" s="999">
        <f t="shared" si="3"/>
        <v>0</v>
      </c>
      <c r="AT30" s="999"/>
      <c r="AU30" s="999">
        <f t="shared" si="4"/>
        <v>0</v>
      </c>
      <c r="AV30" s="999"/>
      <c r="AW30" s="1070">
        <f t="shared" si="5"/>
        <v>0</v>
      </c>
      <c r="AX30" s="999"/>
      <c r="AY30" s="1059">
        <f t="shared" si="6"/>
        <v>0</v>
      </c>
      <c r="AZ30" s="999"/>
      <c r="BA30" s="1016">
        <f t="shared" si="7"/>
        <v>0</v>
      </c>
      <c r="BB30" s="1016"/>
      <c r="BC30" s="999">
        <f t="shared" si="8"/>
        <v>0</v>
      </c>
      <c r="BE30" s="1070"/>
      <c r="BG30" s="1031">
        <f t="shared" si="26"/>
        <v>17</v>
      </c>
      <c r="BH30" s="1031"/>
      <c r="BI30" s="1016">
        <f t="shared" si="9"/>
        <v>0</v>
      </c>
      <c r="BJ30" s="1016"/>
      <c r="BK30" s="1016">
        <f t="shared" si="10"/>
        <v>0</v>
      </c>
      <c r="BN30" s="1006">
        <f t="shared" si="22"/>
        <v>17</v>
      </c>
      <c r="BO30" s="1070">
        <f t="shared" si="11"/>
        <v>0</v>
      </c>
      <c r="BP30" s="999">
        <f t="shared" si="0"/>
        <v>0</v>
      </c>
      <c r="BQ30" s="1070">
        <f t="shared" si="12"/>
        <v>0</v>
      </c>
      <c r="BR30" s="999">
        <f t="shared" si="13"/>
        <v>0</v>
      </c>
      <c r="BS30" s="1057">
        <f t="shared" si="1"/>
        <v>0</v>
      </c>
      <c r="BT30" s="999">
        <f t="shared" si="14"/>
        <v>0</v>
      </c>
      <c r="BU30" s="999"/>
      <c r="BV30" s="1006" t="str">
        <f t="shared" si="23"/>
        <v>*</v>
      </c>
      <c r="BW30" s="1006" t="str">
        <f t="shared" si="24"/>
        <v>*</v>
      </c>
      <c r="BX30" s="1015">
        <f t="shared" si="25"/>
        <v>0</v>
      </c>
      <c r="BZ30" s="999">
        <f t="shared" si="2"/>
        <v>0</v>
      </c>
      <c r="CA30" s="999" t="str">
        <f t="shared" si="15"/>
        <v/>
      </c>
      <c r="CC30" s="1071"/>
    </row>
    <row r="31" spans="1:83" x14ac:dyDescent="0.2">
      <c r="A31" s="58" t="s">
        <v>1092</v>
      </c>
      <c r="B31" s="295"/>
      <c r="C31" s="295"/>
      <c r="D31" s="1035">
        <f>'MH Underwriting'!P36</f>
        <v>0</v>
      </c>
      <c r="E31" s="295"/>
      <c r="F31" s="1084">
        <f>IF(B4=2,((D6+D7+D10)*0.1)+((D51-(D6+D7+D8+D10+D48+D49))*0.15),0)</f>
        <v>0</v>
      </c>
      <c r="G31" s="295"/>
      <c r="H31" s="1036">
        <f t="shared" si="27"/>
        <v>0</v>
      </c>
      <c r="J31" s="1088" t="s">
        <v>1025</v>
      </c>
      <c r="K31" s="1015"/>
      <c r="L31" s="1038">
        <f>'Project Costs &amp; Basis'!S42+'Project Costs &amp; Basis'!Q42</f>
        <v>0</v>
      </c>
      <c r="M31" s="295"/>
      <c r="N31" s="1038">
        <f>'Project Costs &amp; Basis'!Q42</f>
        <v>0</v>
      </c>
      <c r="P31" s="1038">
        <f>IF('Project Information'!$L$4="Yes",L31-N31,0)</f>
        <v>0</v>
      </c>
      <c r="R31" s="1038">
        <f t="shared" si="28"/>
        <v>0</v>
      </c>
      <c r="T31" s="1038">
        <f t="shared" si="30"/>
        <v>0</v>
      </c>
      <c r="V31" s="1038">
        <f t="shared" si="29"/>
        <v>0</v>
      </c>
      <c r="W31" s="1006"/>
      <c r="X31" s="1038">
        <f t="shared" si="31"/>
        <v>0</v>
      </c>
      <c r="Z31" s="1006">
        <f t="shared" si="16"/>
        <v>18</v>
      </c>
      <c r="AA31" s="1035"/>
      <c r="AC31" s="1035" t="str">
        <f>IF(AA31="","",AA31*'Tax Credit Calculations'!$X$32)</f>
        <v/>
      </c>
      <c r="AE31" s="1030">
        <f t="shared" si="17"/>
        <v>0</v>
      </c>
      <c r="AF31" s="1030"/>
      <c r="AG31" s="1030" t="str">
        <f t="shared" si="18"/>
        <v xml:space="preserve">  </v>
      </c>
      <c r="AH31" s="1068"/>
      <c r="AI31" s="1069"/>
      <c r="AK31" s="1069" t="str">
        <f>IF(AI31="","",AI31*'Tax Credit Calculations'!$V$32)</f>
        <v/>
      </c>
      <c r="AM31" s="1030" t="str">
        <f t="shared" si="19"/>
        <v xml:space="preserve">  </v>
      </c>
      <c r="AO31" s="1030" t="str">
        <f t="shared" si="20"/>
        <v xml:space="preserve">  </v>
      </c>
      <c r="AP31" s="1030"/>
      <c r="AQ31" s="1003"/>
      <c r="AR31" s="999">
        <f t="shared" si="21"/>
        <v>18</v>
      </c>
      <c r="AS31" s="999">
        <f t="shared" si="3"/>
        <v>0</v>
      </c>
      <c r="AT31" s="999"/>
      <c r="AU31" s="999">
        <f t="shared" si="4"/>
        <v>0</v>
      </c>
      <c r="AV31" s="999"/>
      <c r="AW31" s="1070">
        <f t="shared" si="5"/>
        <v>0</v>
      </c>
      <c r="AX31" s="999"/>
      <c r="AY31" s="1059">
        <f t="shared" si="6"/>
        <v>0</v>
      </c>
      <c r="AZ31" s="999"/>
      <c r="BA31" s="1016">
        <f t="shared" si="7"/>
        <v>0</v>
      </c>
      <c r="BB31" s="1016"/>
      <c r="BC31" s="999">
        <f t="shared" si="8"/>
        <v>0</v>
      </c>
      <c r="BE31" s="1070"/>
      <c r="BG31" s="1031">
        <f t="shared" si="26"/>
        <v>18</v>
      </c>
      <c r="BH31" s="1031"/>
      <c r="BI31" s="1016">
        <f t="shared" si="9"/>
        <v>0</v>
      </c>
      <c r="BJ31" s="1016"/>
      <c r="BK31" s="1016">
        <f t="shared" si="10"/>
        <v>0</v>
      </c>
      <c r="BN31" s="1006">
        <f t="shared" si="22"/>
        <v>18</v>
      </c>
      <c r="BO31" s="1070">
        <f t="shared" si="11"/>
        <v>0</v>
      </c>
      <c r="BP31" s="999">
        <f t="shared" si="0"/>
        <v>0</v>
      </c>
      <c r="BQ31" s="1070">
        <f t="shared" si="12"/>
        <v>0</v>
      </c>
      <c r="BR31" s="999">
        <f t="shared" si="13"/>
        <v>0</v>
      </c>
      <c r="BS31" s="1057">
        <f t="shared" si="1"/>
        <v>0</v>
      </c>
      <c r="BT31" s="999">
        <f t="shared" si="14"/>
        <v>0</v>
      </c>
      <c r="BU31" s="999"/>
      <c r="BV31" s="1006" t="str">
        <f t="shared" si="23"/>
        <v>*</v>
      </c>
      <c r="BW31" s="1006" t="str">
        <f t="shared" si="24"/>
        <v>*</v>
      </c>
      <c r="BX31" s="1015">
        <f t="shared" si="25"/>
        <v>0</v>
      </c>
      <c r="BZ31" s="999">
        <f t="shared" si="2"/>
        <v>0</v>
      </c>
      <c r="CA31" s="999" t="str">
        <f t="shared" si="15"/>
        <v/>
      </c>
      <c r="CC31" s="1071"/>
    </row>
    <row r="32" spans="1:83" x14ac:dyDescent="0.2">
      <c r="A32" s="58" t="s">
        <v>686</v>
      </c>
      <c r="D32" s="1035">
        <f>'MH Underwriting'!P37</f>
        <v>0</v>
      </c>
      <c r="E32" s="295"/>
      <c r="F32" s="1089"/>
      <c r="G32" s="295"/>
      <c r="H32" s="1036">
        <f t="shared" si="27"/>
        <v>0</v>
      </c>
      <c r="J32" s="1042" t="s">
        <v>1048</v>
      </c>
      <c r="K32" s="1006"/>
      <c r="L32" s="1038">
        <f>'Project Costs &amp; Basis'!S44+'Project Costs &amp; Basis'!Q44</f>
        <v>0</v>
      </c>
      <c r="N32" s="1038">
        <f>'Project Costs &amp; Basis'!Q44</f>
        <v>0</v>
      </c>
      <c r="P32" s="1038">
        <f>IF('Project Information'!$L$4="Yes",L32-N32,0)</f>
        <v>0</v>
      </c>
      <c r="R32" s="1038">
        <f t="shared" si="28"/>
        <v>0</v>
      </c>
      <c r="T32" s="1038">
        <f t="shared" si="30"/>
        <v>0</v>
      </c>
      <c r="V32" s="1038">
        <f t="shared" si="29"/>
        <v>0</v>
      </c>
      <c r="W32" s="1006"/>
      <c r="X32" s="1038">
        <f t="shared" si="31"/>
        <v>0</v>
      </c>
      <c r="Z32" s="1006">
        <f t="shared" si="16"/>
        <v>19</v>
      </c>
      <c r="AA32" s="1035"/>
      <c r="AC32" s="1035" t="str">
        <f>IF(AA32="","",AA32*'Tax Credit Calculations'!$X$32)</f>
        <v/>
      </c>
      <c r="AE32" s="1030">
        <f t="shared" si="17"/>
        <v>0</v>
      </c>
      <c r="AF32" s="1030"/>
      <c r="AG32" s="1030" t="str">
        <f t="shared" si="18"/>
        <v xml:space="preserve">  </v>
      </c>
      <c r="AH32" s="1068"/>
      <c r="AI32" s="1069"/>
      <c r="AK32" s="1069" t="str">
        <f>IF(AI32="","",AI32*'Tax Credit Calculations'!$V$32)</f>
        <v/>
      </c>
      <c r="AM32" s="1030" t="str">
        <f t="shared" si="19"/>
        <v xml:space="preserve">  </v>
      </c>
      <c r="AO32" s="1030" t="str">
        <f t="shared" si="20"/>
        <v xml:space="preserve">  </v>
      </c>
      <c r="AQ32" s="1070"/>
      <c r="AR32" s="999">
        <f t="shared" si="21"/>
        <v>19</v>
      </c>
      <c r="AS32" s="999">
        <f t="shared" si="3"/>
        <v>0</v>
      </c>
      <c r="AT32" s="999"/>
      <c r="AU32" s="999">
        <f t="shared" si="4"/>
        <v>0</v>
      </c>
      <c r="AV32" s="999"/>
      <c r="AW32" s="1070">
        <f t="shared" si="5"/>
        <v>0</v>
      </c>
      <c r="AX32" s="999"/>
      <c r="AY32" s="1059">
        <f t="shared" si="6"/>
        <v>0</v>
      </c>
      <c r="AZ32" s="999"/>
      <c r="BA32" s="1016">
        <f t="shared" si="7"/>
        <v>0</v>
      </c>
      <c r="BB32" s="1016"/>
      <c r="BC32" s="999">
        <f t="shared" si="8"/>
        <v>0</v>
      </c>
      <c r="BD32" s="999"/>
      <c r="BE32" s="1070"/>
      <c r="BF32" s="999"/>
      <c r="BG32" s="1031">
        <f t="shared" si="26"/>
        <v>19</v>
      </c>
      <c r="BH32" s="1031"/>
      <c r="BI32" s="1016">
        <f t="shared" si="9"/>
        <v>0</v>
      </c>
      <c r="BJ32" s="1016"/>
      <c r="BK32" s="1016">
        <f t="shared" si="10"/>
        <v>0</v>
      </c>
      <c r="BN32" s="1006">
        <f t="shared" si="22"/>
        <v>19</v>
      </c>
      <c r="BO32" s="1070">
        <f t="shared" si="11"/>
        <v>0</v>
      </c>
      <c r="BP32" s="999">
        <f t="shared" si="0"/>
        <v>0</v>
      </c>
      <c r="BQ32" s="1070">
        <f t="shared" si="12"/>
        <v>0</v>
      </c>
      <c r="BR32" s="999">
        <f t="shared" si="13"/>
        <v>0</v>
      </c>
      <c r="BS32" s="1057">
        <f t="shared" si="1"/>
        <v>0</v>
      </c>
      <c r="BT32" s="999">
        <f t="shared" si="14"/>
        <v>0</v>
      </c>
      <c r="BU32" s="999"/>
      <c r="BV32" s="1006" t="str">
        <f t="shared" si="23"/>
        <v>*</v>
      </c>
      <c r="BW32" s="1006" t="str">
        <f t="shared" si="24"/>
        <v>*</v>
      </c>
      <c r="BX32" s="1015">
        <f t="shared" si="25"/>
        <v>0</v>
      </c>
      <c r="BZ32" s="999">
        <f t="shared" si="2"/>
        <v>0</v>
      </c>
      <c r="CA32" s="999" t="str">
        <f t="shared" si="15"/>
        <v/>
      </c>
    </row>
    <row r="33" spans="1:79" x14ac:dyDescent="0.2">
      <c r="A33" s="58" t="s">
        <v>226</v>
      </c>
      <c r="D33" s="1035">
        <f>'MH Underwriting'!P38</f>
        <v>0</v>
      </c>
      <c r="E33" s="295"/>
      <c r="F33" s="1089"/>
      <c r="G33" s="295"/>
      <c r="H33" s="1036">
        <f t="shared" si="27"/>
        <v>0</v>
      </c>
      <c r="J33" s="1088" t="s">
        <v>1025</v>
      </c>
      <c r="K33" s="1015"/>
      <c r="L33" s="1038">
        <f>'Project Costs &amp; Basis'!S46+'Project Costs &amp; Basis'!Q46</f>
        <v>0</v>
      </c>
      <c r="M33" s="295"/>
      <c r="N33" s="1038">
        <f>'Project Costs &amp; Basis'!Q46</f>
        <v>0</v>
      </c>
      <c r="P33" s="1038">
        <f>IF('Project Information'!$L$4="Yes",L33-N33,0)</f>
        <v>0</v>
      </c>
      <c r="R33" s="1038">
        <f t="shared" si="28"/>
        <v>0</v>
      </c>
      <c r="T33" s="1038">
        <f t="shared" si="30"/>
        <v>0</v>
      </c>
      <c r="V33" s="1038">
        <f t="shared" si="29"/>
        <v>0</v>
      </c>
      <c r="W33" s="1006"/>
      <c r="X33" s="1038">
        <f t="shared" si="31"/>
        <v>0</v>
      </c>
      <c r="Z33" s="1006">
        <f t="shared" si="16"/>
        <v>20</v>
      </c>
      <c r="AA33" s="1035"/>
      <c r="AC33" s="1035" t="str">
        <f>IF(AA33="","",AA33*'Tax Credit Calculations'!$X$32)</f>
        <v/>
      </c>
      <c r="AE33" s="1030">
        <f t="shared" si="17"/>
        <v>0</v>
      </c>
      <c r="AF33" s="1030"/>
      <c r="AG33" s="1030" t="str">
        <f t="shared" si="18"/>
        <v xml:space="preserve">  </v>
      </c>
      <c r="AH33" s="1068"/>
      <c r="AI33" s="1069"/>
      <c r="AK33" s="1069" t="str">
        <f>IF(AI33="","",AI33*'Tax Credit Calculations'!$V$32)</f>
        <v/>
      </c>
      <c r="AM33" s="1030" t="str">
        <f t="shared" si="19"/>
        <v xml:space="preserve">  </v>
      </c>
      <c r="AO33" s="1030" t="str">
        <f t="shared" si="20"/>
        <v xml:space="preserve">  </v>
      </c>
      <c r="AP33" s="1030"/>
      <c r="AQ33" s="1003"/>
      <c r="AR33" s="999">
        <f t="shared" si="21"/>
        <v>20</v>
      </c>
      <c r="AS33" s="999">
        <f t="shared" si="3"/>
        <v>0</v>
      </c>
      <c r="AT33" s="999"/>
      <c r="AU33" s="999">
        <f t="shared" si="4"/>
        <v>0</v>
      </c>
      <c r="AV33" s="999"/>
      <c r="AW33" s="1070">
        <f t="shared" si="5"/>
        <v>0</v>
      </c>
      <c r="AX33" s="999"/>
      <c r="AY33" s="1059">
        <f t="shared" si="6"/>
        <v>0</v>
      </c>
      <c r="AZ33" s="999"/>
      <c r="BA33" s="1016">
        <f t="shared" si="7"/>
        <v>0</v>
      </c>
      <c r="BB33" s="1016"/>
      <c r="BC33" s="999">
        <f t="shared" si="8"/>
        <v>0</v>
      </c>
      <c r="BE33" s="1003"/>
      <c r="BF33" s="999"/>
      <c r="BG33" s="1031">
        <f t="shared" si="26"/>
        <v>20</v>
      </c>
      <c r="BH33" s="1031"/>
      <c r="BI33" s="1016">
        <f t="shared" si="9"/>
        <v>0</v>
      </c>
      <c r="BJ33" s="1016"/>
      <c r="BK33" s="1016">
        <f t="shared" si="10"/>
        <v>0</v>
      </c>
      <c r="BN33" s="1006">
        <f t="shared" si="22"/>
        <v>20</v>
      </c>
      <c r="BO33" s="1070">
        <f t="shared" si="11"/>
        <v>0</v>
      </c>
      <c r="BP33" s="999">
        <f t="shared" si="0"/>
        <v>0</v>
      </c>
      <c r="BQ33" s="1070">
        <f t="shared" si="12"/>
        <v>0</v>
      </c>
      <c r="BR33" s="999">
        <f t="shared" si="13"/>
        <v>0</v>
      </c>
      <c r="BS33" s="1057">
        <f t="shared" si="1"/>
        <v>0</v>
      </c>
      <c r="BT33" s="999">
        <f t="shared" si="14"/>
        <v>0</v>
      </c>
      <c r="BU33" s="999"/>
      <c r="BV33" s="1006" t="str">
        <f t="shared" si="23"/>
        <v>*</v>
      </c>
      <c r="BW33" s="1006" t="str">
        <f t="shared" si="24"/>
        <v>*</v>
      </c>
      <c r="BX33" s="1015">
        <f t="shared" si="25"/>
        <v>0</v>
      </c>
      <c r="BZ33" s="999">
        <f t="shared" si="2"/>
        <v>0</v>
      </c>
      <c r="CA33" s="999" t="str">
        <f t="shared" si="15"/>
        <v/>
      </c>
    </row>
    <row r="34" spans="1:79" x14ac:dyDescent="0.2">
      <c r="A34" s="58" t="s">
        <v>434</v>
      </c>
      <c r="D34" s="1035">
        <f>'MH Underwriting'!P41</f>
        <v>0</v>
      </c>
      <c r="E34" s="295"/>
      <c r="F34" s="1089" t="s">
        <v>1089</v>
      </c>
      <c r="G34" s="295"/>
      <c r="H34" s="1036">
        <f t="shared" si="27"/>
        <v>0</v>
      </c>
      <c r="J34" s="1042" t="s">
        <v>1025</v>
      </c>
      <c r="K34" s="1006"/>
      <c r="L34" s="1038">
        <f>'Project Costs &amp; Basis'!S53+'Project Costs &amp; Basis'!Q53</f>
        <v>0</v>
      </c>
      <c r="N34" s="1038">
        <f>'Project Costs &amp; Basis'!Q53</f>
        <v>0</v>
      </c>
      <c r="P34" s="1038">
        <f>IF('Project Information'!$L$4="Yes",L34-N34,0)</f>
        <v>0</v>
      </c>
      <c r="R34" s="1038">
        <f t="shared" si="28"/>
        <v>0</v>
      </c>
      <c r="T34" s="1038">
        <f t="shared" si="30"/>
        <v>0</v>
      </c>
      <c r="V34" s="1038">
        <f t="shared" si="29"/>
        <v>0</v>
      </c>
      <c r="W34" s="1006"/>
      <c r="X34" s="1038">
        <f t="shared" si="31"/>
        <v>0</v>
      </c>
      <c r="Z34" s="1006">
        <f t="shared" si="16"/>
        <v>21</v>
      </c>
      <c r="AA34" s="1035"/>
      <c r="AC34" s="1035" t="str">
        <f>IF(AA34="","",AA34*'Tax Credit Calculations'!$X$32)</f>
        <v/>
      </c>
      <c r="AE34" s="1030">
        <f t="shared" si="17"/>
        <v>0</v>
      </c>
      <c r="AF34" s="1030"/>
      <c r="AG34" s="1030" t="str">
        <f t="shared" si="18"/>
        <v xml:space="preserve">  </v>
      </c>
      <c r="AH34" s="1068"/>
      <c r="AI34" s="1069"/>
      <c r="AK34" s="1069" t="str">
        <f>IF(AI34="","",AI34*'Tax Credit Calculations'!$V$32)</f>
        <v/>
      </c>
      <c r="AM34" s="1030" t="str">
        <f t="shared" si="19"/>
        <v xml:space="preserve">  </v>
      </c>
      <c r="AO34" s="1030" t="str">
        <f t="shared" si="20"/>
        <v xml:space="preserve">  </v>
      </c>
      <c r="AQ34" s="1070"/>
      <c r="AR34" s="999">
        <f t="shared" si="21"/>
        <v>21</v>
      </c>
      <c r="AS34" s="999">
        <f t="shared" si="3"/>
        <v>0</v>
      </c>
      <c r="AT34" s="999"/>
      <c r="AU34" s="999">
        <f t="shared" si="4"/>
        <v>0</v>
      </c>
      <c r="AV34" s="999"/>
      <c r="AW34" s="1070">
        <f t="shared" si="5"/>
        <v>0</v>
      </c>
      <c r="AX34" s="999"/>
      <c r="AY34" s="1059">
        <f t="shared" si="6"/>
        <v>0</v>
      </c>
      <c r="AZ34" s="999"/>
      <c r="BA34" s="1016">
        <f t="shared" si="7"/>
        <v>0</v>
      </c>
      <c r="BB34" s="1016"/>
      <c r="BC34" s="999">
        <f t="shared" si="8"/>
        <v>0</v>
      </c>
      <c r="BE34" s="1003"/>
      <c r="BG34" s="1031">
        <f t="shared" si="26"/>
        <v>21</v>
      </c>
      <c r="BH34" s="1031"/>
      <c r="BI34" s="1016">
        <f t="shared" si="9"/>
        <v>0</v>
      </c>
      <c r="BJ34" s="1016"/>
      <c r="BK34" s="1016">
        <f t="shared" si="10"/>
        <v>0</v>
      </c>
      <c r="BN34" s="1006">
        <f t="shared" si="22"/>
        <v>21</v>
      </c>
      <c r="BO34" s="1070">
        <f t="shared" si="11"/>
        <v>0</v>
      </c>
      <c r="BP34" s="999">
        <f t="shared" si="0"/>
        <v>0</v>
      </c>
      <c r="BQ34" s="1070">
        <f t="shared" si="12"/>
        <v>0</v>
      </c>
      <c r="BR34" s="999">
        <f t="shared" si="13"/>
        <v>0</v>
      </c>
      <c r="BS34" s="1057">
        <f t="shared" si="1"/>
        <v>0</v>
      </c>
      <c r="BT34" s="999">
        <f t="shared" si="14"/>
        <v>0</v>
      </c>
      <c r="BU34" s="999"/>
      <c r="BV34" s="1006" t="str">
        <f t="shared" si="23"/>
        <v>*</v>
      </c>
      <c r="BW34" s="1006" t="str">
        <f t="shared" si="24"/>
        <v>*</v>
      </c>
      <c r="BX34" s="1015">
        <f t="shared" si="25"/>
        <v>0</v>
      </c>
      <c r="BZ34" s="999">
        <f t="shared" si="2"/>
        <v>0</v>
      </c>
      <c r="CA34" s="999" t="str">
        <f t="shared" si="15"/>
        <v/>
      </c>
    </row>
    <row r="35" spans="1:79" x14ac:dyDescent="0.2">
      <c r="A35" s="58" t="s">
        <v>433</v>
      </c>
      <c r="D35" s="1035">
        <f>'MH Underwriting'!P42</f>
        <v>0</v>
      </c>
      <c r="E35" s="295"/>
      <c r="F35" s="1090">
        <f>IF(B4=2,F31,F27)</f>
        <v>0</v>
      </c>
      <c r="G35" s="295"/>
      <c r="H35" s="1036">
        <f t="shared" si="27"/>
        <v>0</v>
      </c>
      <c r="J35" s="1042" t="s">
        <v>1025</v>
      </c>
      <c r="K35" s="1006"/>
      <c r="L35" s="1038">
        <f>'Project Costs &amp; Basis'!S55+'Project Costs &amp; Basis'!Q55</f>
        <v>0</v>
      </c>
      <c r="N35" s="1038">
        <f>'Project Costs &amp; Basis'!Q55</f>
        <v>0</v>
      </c>
      <c r="P35" s="1038">
        <f>IF('Project Information'!$L$4="Yes",L35-N35,0)</f>
        <v>0</v>
      </c>
      <c r="R35" s="1038">
        <f t="shared" si="28"/>
        <v>0</v>
      </c>
      <c r="T35" s="1038">
        <f t="shared" si="30"/>
        <v>0</v>
      </c>
      <c r="V35" s="1038">
        <f t="shared" si="29"/>
        <v>0</v>
      </c>
      <c r="W35" s="1006"/>
      <c r="X35" s="1038">
        <f t="shared" si="31"/>
        <v>0</v>
      </c>
      <c r="Z35" s="1006">
        <f t="shared" si="16"/>
        <v>22</v>
      </c>
      <c r="AA35" s="1035"/>
      <c r="AC35" s="1035" t="str">
        <f>IF(AA35="","",AA35*'Tax Credit Calculations'!$X$32)</f>
        <v/>
      </c>
      <c r="AE35" s="1030">
        <f t="shared" si="17"/>
        <v>0</v>
      </c>
      <c r="AF35" s="1030"/>
      <c r="AG35" s="1030" t="str">
        <f t="shared" si="18"/>
        <v xml:space="preserve">  </v>
      </c>
      <c r="AH35" s="1068"/>
      <c r="AI35" s="1069"/>
      <c r="AK35" s="1069" t="str">
        <f>IF(AI35="","",AI35*'Tax Credit Calculations'!$V$32)</f>
        <v/>
      </c>
      <c r="AM35" s="1030" t="str">
        <f t="shared" si="19"/>
        <v xml:space="preserve">  </v>
      </c>
      <c r="AO35" s="1030" t="str">
        <f t="shared" si="20"/>
        <v xml:space="preserve">  </v>
      </c>
      <c r="AP35" s="1030"/>
      <c r="AQ35" s="1003"/>
      <c r="AR35" s="999">
        <f t="shared" si="21"/>
        <v>22</v>
      </c>
      <c r="AS35" s="999">
        <f t="shared" si="3"/>
        <v>0</v>
      </c>
      <c r="AT35" s="999"/>
      <c r="AU35" s="999">
        <f t="shared" si="4"/>
        <v>0</v>
      </c>
      <c r="AV35" s="999"/>
      <c r="AW35" s="1070">
        <f t="shared" si="5"/>
        <v>0</v>
      </c>
      <c r="AX35" s="999"/>
      <c r="AY35" s="1059">
        <f t="shared" si="6"/>
        <v>0</v>
      </c>
      <c r="AZ35" s="999"/>
      <c r="BA35" s="1016">
        <f t="shared" si="7"/>
        <v>0</v>
      </c>
      <c r="BB35" s="1016"/>
      <c r="BC35" s="999">
        <f t="shared" si="8"/>
        <v>0</v>
      </c>
      <c r="BE35" s="1003"/>
      <c r="BF35" s="999"/>
      <c r="BG35" s="1031">
        <f t="shared" si="26"/>
        <v>22</v>
      </c>
      <c r="BH35" s="1031"/>
      <c r="BI35" s="1016">
        <f t="shared" si="9"/>
        <v>0</v>
      </c>
      <c r="BJ35" s="1016"/>
      <c r="BK35" s="1016">
        <f t="shared" si="10"/>
        <v>0</v>
      </c>
      <c r="BN35" s="1006">
        <f t="shared" si="22"/>
        <v>22</v>
      </c>
      <c r="BO35" s="1070">
        <f t="shared" si="11"/>
        <v>0</v>
      </c>
      <c r="BP35" s="999">
        <f t="shared" si="0"/>
        <v>0</v>
      </c>
      <c r="BQ35" s="1070">
        <f t="shared" si="12"/>
        <v>0</v>
      </c>
      <c r="BR35" s="999">
        <f t="shared" si="13"/>
        <v>0</v>
      </c>
      <c r="BS35" s="1057">
        <f t="shared" si="1"/>
        <v>0</v>
      </c>
      <c r="BT35" s="999">
        <f t="shared" si="14"/>
        <v>0</v>
      </c>
      <c r="BU35" s="999"/>
      <c r="BV35" s="1006" t="str">
        <f t="shared" si="23"/>
        <v>*</v>
      </c>
      <c r="BW35" s="1006" t="str">
        <f t="shared" si="24"/>
        <v>*</v>
      </c>
      <c r="BX35" s="1015">
        <f t="shared" si="25"/>
        <v>0</v>
      </c>
      <c r="BZ35" s="999">
        <f t="shared" si="2"/>
        <v>0</v>
      </c>
      <c r="CA35" s="999" t="str">
        <f t="shared" si="15"/>
        <v/>
      </c>
    </row>
    <row r="36" spans="1:79" x14ac:dyDescent="0.2">
      <c r="A36" s="58" t="s">
        <v>432</v>
      </c>
      <c r="D36" s="1035">
        <f>'MH Underwriting'!P43</f>
        <v>0</v>
      </c>
      <c r="E36" s="295"/>
      <c r="F36" s="1089" t="s">
        <v>1093</v>
      </c>
      <c r="G36" s="295"/>
      <c r="H36" s="1036">
        <f t="shared" si="27"/>
        <v>0</v>
      </c>
      <c r="J36" s="1042" t="s">
        <v>1025</v>
      </c>
      <c r="K36" s="1006"/>
      <c r="L36" s="1038">
        <f>'Project Costs &amp; Basis'!S57+'Project Costs &amp; Basis'!Q57</f>
        <v>0</v>
      </c>
      <c r="N36" s="1038">
        <f>'Project Costs &amp; Basis'!Q57</f>
        <v>0</v>
      </c>
      <c r="P36" s="1038">
        <f>IF('Project Information'!$L$4="Yes",L36-N36,0)</f>
        <v>0</v>
      </c>
      <c r="R36" s="1038">
        <f t="shared" si="28"/>
        <v>0</v>
      </c>
      <c r="T36" s="1038">
        <f t="shared" si="30"/>
        <v>0</v>
      </c>
      <c r="V36" s="1038">
        <f t="shared" si="29"/>
        <v>0</v>
      </c>
      <c r="W36" s="1006"/>
      <c r="X36" s="1038">
        <f t="shared" si="31"/>
        <v>0</v>
      </c>
      <c r="Z36" s="1006">
        <f t="shared" si="16"/>
        <v>23</v>
      </c>
      <c r="AA36" s="1035"/>
      <c r="AC36" s="1035" t="str">
        <f>IF(AA36="","",AA36*'Tax Credit Calculations'!$X$32)</f>
        <v/>
      </c>
      <c r="AE36" s="1030">
        <f t="shared" si="17"/>
        <v>0</v>
      </c>
      <c r="AF36" s="1030"/>
      <c r="AG36" s="1030" t="str">
        <f t="shared" si="18"/>
        <v xml:space="preserve">  </v>
      </c>
      <c r="AH36" s="1068"/>
      <c r="AI36" s="1069"/>
      <c r="AK36" s="1069" t="str">
        <f>IF(AI36="","",AI36*'Tax Credit Calculations'!$V$32)</f>
        <v/>
      </c>
      <c r="AM36" s="1030" t="str">
        <f t="shared" si="19"/>
        <v xml:space="preserve">  </v>
      </c>
      <c r="AO36" s="1030" t="str">
        <f t="shared" si="20"/>
        <v xml:space="preserve">  </v>
      </c>
      <c r="AQ36" s="1070"/>
      <c r="AR36" s="999">
        <f t="shared" si="21"/>
        <v>23</v>
      </c>
      <c r="AS36" s="999">
        <f t="shared" si="3"/>
        <v>0</v>
      </c>
      <c r="AT36" s="999"/>
      <c r="AU36" s="999">
        <f t="shared" si="4"/>
        <v>0</v>
      </c>
      <c r="AV36" s="999"/>
      <c r="AW36" s="1070">
        <f t="shared" si="5"/>
        <v>0</v>
      </c>
      <c r="AX36" s="999"/>
      <c r="AY36" s="1059">
        <f t="shared" si="6"/>
        <v>0</v>
      </c>
      <c r="AZ36" s="999"/>
      <c r="BA36" s="1016">
        <f t="shared" si="7"/>
        <v>0</v>
      </c>
      <c r="BB36" s="1016"/>
      <c r="BC36" s="999">
        <f t="shared" si="8"/>
        <v>0</v>
      </c>
      <c r="BE36" s="1003"/>
      <c r="BG36" s="1031">
        <f t="shared" si="26"/>
        <v>23</v>
      </c>
      <c r="BH36" s="1031"/>
      <c r="BI36" s="1016">
        <f t="shared" si="9"/>
        <v>0</v>
      </c>
      <c r="BJ36" s="1016"/>
      <c r="BK36" s="1016">
        <f t="shared" si="10"/>
        <v>0</v>
      </c>
      <c r="BN36" s="1006">
        <f t="shared" si="22"/>
        <v>23</v>
      </c>
      <c r="BO36" s="1070">
        <f t="shared" si="11"/>
        <v>0</v>
      </c>
      <c r="BP36" s="999">
        <f t="shared" si="0"/>
        <v>0</v>
      </c>
      <c r="BQ36" s="1070">
        <f t="shared" si="12"/>
        <v>0</v>
      </c>
      <c r="BR36" s="999">
        <f t="shared" si="13"/>
        <v>0</v>
      </c>
      <c r="BS36" s="1057">
        <f t="shared" si="1"/>
        <v>0</v>
      </c>
      <c r="BT36" s="999">
        <f t="shared" si="14"/>
        <v>0</v>
      </c>
      <c r="BU36" s="999"/>
      <c r="BV36" s="1006" t="str">
        <f t="shared" si="23"/>
        <v>*</v>
      </c>
      <c r="BW36" s="1006" t="str">
        <f t="shared" si="24"/>
        <v>*</v>
      </c>
      <c r="BX36" s="1015">
        <f t="shared" si="25"/>
        <v>0</v>
      </c>
      <c r="BZ36" s="999">
        <f t="shared" si="2"/>
        <v>0</v>
      </c>
      <c r="CA36" s="999" t="str">
        <f t="shared" si="15"/>
        <v/>
      </c>
    </row>
    <row r="37" spans="1:79" x14ac:dyDescent="0.2">
      <c r="A37" s="58" t="s">
        <v>697</v>
      </c>
      <c r="D37" s="1035">
        <f>'MH Underwriting'!P44</f>
        <v>0</v>
      </c>
      <c r="E37" s="295"/>
      <c r="F37" s="1084"/>
      <c r="G37" s="295"/>
      <c r="H37" s="1036">
        <f t="shared" si="27"/>
        <v>0</v>
      </c>
      <c r="J37" s="1042" t="s">
        <v>1048</v>
      </c>
      <c r="K37" s="1006"/>
      <c r="L37" s="1038">
        <f>'Project Costs &amp; Basis'!S59+'Project Costs &amp; Basis'!Q59</f>
        <v>0</v>
      </c>
      <c r="N37" s="1038">
        <f>'Project Costs &amp; Basis'!Q59</f>
        <v>0</v>
      </c>
      <c r="P37" s="1038">
        <f>IF('Project Information'!$L$4="Yes",L37-N37,0)</f>
        <v>0</v>
      </c>
      <c r="R37" s="1038">
        <f t="shared" si="28"/>
        <v>0</v>
      </c>
      <c r="T37" s="1038">
        <f t="shared" si="30"/>
        <v>0</v>
      </c>
      <c r="V37" s="1038">
        <f t="shared" si="29"/>
        <v>0</v>
      </c>
      <c r="W37" s="1006"/>
      <c r="X37" s="1038">
        <f t="shared" si="31"/>
        <v>0</v>
      </c>
      <c r="Z37" s="1006">
        <f t="shared" si="16"/>
        <v>24</v>
      </c>
      <c r="AA37" s="1035"/>
      <c r="AC37" s="1035" t="str">
        <f>IF(AA37="","",AA37*'Tax Credit Calculations'!$X$32)</f>
        <v/>
      </c>
      <c r="AE37" s="1030">
        <f t="shared" si="17"/>
        <v>0</v>
      </c>
      <c r="AF37" s="1030"/>
      <c r="AG37" s="1030" t="str">
        <f t="shared" si="18"/>
        <v xml:space="preserve">  </v>
      </c>
      <c r="AH37" s="1068"/>
      <c r="AI37" s="1069"/>
      <c r="AK37" s="1069" t="str">
        <f>IF(AI37="","",AI37*'Tax Credit Calculations'!$V$32)</f>
        <v/>
      </c>
      <c r="AM37" s="1030" t="str">
        <f t="shared" si="19"/>
        <v xml:space="preserve">  </v>
      </c>
      <c r="AO37" s="1030" t="str">
        <f t="shared" si="20"/>
        <v xml:space="preserve">  </v>
      </c>
      <c r="AP37" s="1030"/>
      <c r="AQ37" s="1003"/>
      <c r="AR37" s="999">
        <f t="shared" si="21"/>
        <v>24</v>
      </c>
      <c r="AS37" s="999">
        <f t="shared" si="3"/>
        <v>0</v>
      </c>
      <c r="AT37" s="999"/>
      <c r="AU37" s="999">
        <f t="shared" si="4"/>
        <v>0</v>
      </c>
      <c r="AV37" s="999"/>
      <c r="AW37" s="1070">
        <f t="shared" si="5"/>
        <v>0</v>
      </c>
      <c r="AX37" s="999"/>
      <c r="AY37" s="1059">
        <f t="shared" si="6"/>
        <v>0</v>
      </c>
      <c r="AZ37" s="999"/>
      <c r="BA37" s="1016">
        <f t="shared" si="7"/>
        <v>0</v>
      </c>
      <c r="BB37" s="1016"/>
      <c r="BC37" s="999">
        <f t="shared" si="8"/>
        <v>0</v>
      </c>
      <c r="BE37" s="1003"/>
      <c r="BG37" s="1031">
        <f t="shared" si="26"/>
        <v>24</v>
      </c>
      <c r="BH37" s="1031"/>
      <c r="BI37" s="1016">
        <f t="shared" si="9"/>
        <v>0</v>
      </c>
      <c r="BJ37" s="1016"/>
      <c r="BK37" s="1016">
        <f t="shared" si="10"/>
        <v>0</v>
      </c>
      <c r="BN37" s="1006">
        <f t="shared" si="22"/>
        <v>24</v>
      </c>
      <c r="BO37" s="1070">
        <f t="shared" si="11"/>
        <v>0</v>
      </c>
      <c r="BP37" s="999">
        <f t="shared" si="0"/>
        <v>0</v>
      </c>
      <c r="BQ37" s="1070">
        <f t="shared" si="12"/>
        <v>0</v>
      </c>
      <c r="BR37" s="999">
        <f t="shared" si="13"/>
        <v>0</v>
      </c>
      <c r="BS37" s="1057">
        <f t="shared" si="1"/>
        <v>0</v>
      </c>
      <c r="BT37" s="999">
        <f t="shared" si="14"/>
        <v>0</v>
      </c>
      <c r="BU37" s="999"/>
      <c r="BV37" s="1006" t="str">
        <f t="shared" si="23"/>
        <v>*</v>
      </c>
      <c r="BW37" s="1006" t="str">
        <f t="shared" si="24"/>
        <v>*</v>
      </c>
      <c r="BX37" s="1015">
        <f t="shared" si="25"/>
        <v>0</v>
      </c>
      <c r="BZ37" s="999">
        <f t="shared" si="2"/>
        <v>0</v>
      </c>
      <c r="CA37" s="999" t="str">
        <f t="shared" si="15"/>
        <v/>
      </c>
    </row>
    <row r="38" spans="1:79" x14ac:dyDescent="0.2">
      <c r="A38" s="58" t="s">
        <v>431</v>
      </c>
      <c r="D38" s="1035">
        <f>'MH Underwriting'!P45</f>
        <v>0</v>
      </c>
      <c r="E38" s="295"/>
      <c r="F38" s="1084">
        <f>D48</f>
        <v>0</v>
      </c>
      <c r="G38" s="295"/>
      <c r="H38" s="1036">
        <f t="shared" si="27"/>
        <v>0</v>
      </c>
      <c r="J38" s="1042" t="s">
        <v>1025</v>
      </c>
      <c r="K38" s="1006"/>
      <c r="L38" s="1038">
        <f>'Project Costs &amp; Basis'!S61+'Project Costs &amp; Basis'!Q61</f>
        <v>0</v>
      </c>
      <c r="N38" s="1038">
        <f>'Project Costs &amp; Basis'!Q61</f>
        <v>0</v>
      </c>
      <c r="P38" s="1038">
        <f>IF('Project Information'!$L$4="Yes",L38-N38,0)</f>
        <v>0</v>
      </c>
      <c r="R38" s="1038">
        <f t="shared" si="28"/>
        <v>0</v>
      </c>
      <c r="T38" s="1038">
        <f t="shared" si="30"/>
        <v>0</v>
      </c>
      <c r="V38" s="1038">
        <f t="shared" si="29"/>
        <v>0</v>
      </c>
      <c r="W38" s="1006"/>
      <c r="X38" s="1038">
        <f t="shared" si="31"/>
        <v>0</v>
      </c>
      <c r="Z38" s="1006">
        <f t="shared" si="16"/>
        <v>25</v>
      </c>
      <c r="AA38" s="1035"/>
      <c r="AC38" s="1035" t="str">
        <f>IF(AA38="","",AA38*'Tax Credit Calculations'!$X$32)</f>
        <v/>
      </c>
      <c r="AE38" s="1030">
        <f t="shared" si="17"/>
        <v>0</v>
      </c>
      <c r="AF38" s="1030"/>
      <c r="AG38" s="1030" t="str">
        <f t="shared" si="18"/>
        <v xml:space="preserve">  </v>
      </c>
      <c r="AH38" s="1068"/>
      <c r="AI38" s="1069"/>
      <c r="AK38" s="1069" t="str">
        <f>IF(AI38="","",AI38*'Tax Credit Calculations'!$V$32)</f>
        <v/>
      </c>
      <c r="AM38" s="1030" t="str">
        <f t="shared" si="19"/>
        <v xml:space="preserve">  </v>
      </c>
      <c r="AO38" s="1030" t="str">
        <f t="shared" si="20"/>
        <v xml:space="preserve">  </v>
      </c>
      <c r="AQ38" s="1070"/>
      <c r="AR38" s="999">
        <f t="shared" si="21"/>
        <v>25</v>
      </c>
      <c r="AS38" s="999">
        <f t="shared" si="3"/>
        <v>0</v>
      </c>
      <c r="AT38" s="999"/>
      <c r="AU38" s="999">
        <f t="shared" si="4"/>
        <v>0</v>
      </c>
      <c r="AV38" s="999"/>
      <c r="AW38" s="1070">
        <f t="shared" si="5"/>
        <v>0</v>
      </c>
      <c r="AX38" s="999"/>
      <c r="AY38" s="1059">
        <f t="shared" si="6"/>
        <v>0</v>
      </c>
      <c r="AZ38" s="999"/>
      <c r="BA38" s="1016">
        <f t="shared" si="7"/>
        <v>0</v>
      </c>
      <c r="BB38" s="1016"/>
      <c r="BC38" s="999">
        <f t="shared" si="8"/>
        <v>0</v>
      </c>
      <c r="BE38" s="1003"/>
      <c r="BF38" s="999"/>
      <c r="BG38" s="1031">
        <f t="shared" si="26"/>
        <v>25</v>
      </c>
      <c r="BH38" s="1031"/>
      <c r="BI38" s="1016">
        <f t="shared" si="9"/>
        <v>0</v>
      </c>
      <c r="BJ38" s="1016"/>
      <c r="BK38" s="1016">
        <f t="shared" si="10"/>
        <v>0</v>
      </c>
      <c r="BN38" s="1006">
        <f t="shared" si="22"/>
        <v>25</v>
      </c>
      <c r="BO38" s="1070">
        <f t="shared" si="11"/>
        <v>0</v>
      </c>
      <c r="BP38" s="999">
        <f t="shared" si="0"/>
        <v>0</v>
      </c>
      <c r="BQ38" s="1070">
        <f t="shared" si="12"/>
        <v>0</v>
      </c>
      <c r="BR38" s="999">
        <f t="shared" si="13"/>
        <v>0</v>
      </c>
      <c r="BS38" s="1057">
        <f t="shared" si="1"/>
        <v>0</v>
      </c>
      <c r="BT38" s="999">
        <f t="shared" si="14"/>
        <v>0</v>
      </c>
      <c r="BU38" s="999"/>
      <c r="BV38" s="1006" t="str">
        <f t="shared" si="23"/>
        <v>*</v>
      </c>
      <c r="BW38" s="1006" t="str">
        <f t="shared" si="24"/>
        <v>*</v>
      </c>
      <c r="BX38" s="1015">
        <f t="shared" si="25"/>
        <v>0</v>
      </c>
      <c r="BZ38" s="999">
        <f t="shared" si="2"/>
        <v>0</v>
      </c>
      <c r="CA38" s="999" t="str">
        <f t="shared" si="15"/>
        <v/>
      </c>
    </row>
    <row r="39" spans="1:79" x14ac:dyDescent="0.2">
      <c r="A39" s="58" t="s">
        <v>430</v>
      </c>
      <c r="D39" s="1035">
        <f>'MH Underwriting'!P46</f>
        <v>0</v>
      </c>
      <c r="E39" s="295"/>
      <c r="F39" s="1084">
        <f>D47</f>
        <v>0</v>
      </c>
      <c r="G39" s="295"/>
      <c r="H39" s="1036">
        <f t="shared" si="27"/>
        <v>0</v>
      </c>
      <c r="J39" s="1042" t="s">
        <v>1025</v>
      </c>
      <c r="K39" s="1006"/>
      <c r="L39" s="1038">
        <f>'Project Costs &amp; Basis'!S63+'Project Costs &amp; Basis'!Q63</f>
        <v>0</v>
      </c>
      <c r="N39" s="1038">
        <f>'Project Costs &amp; Basis'!Q63</f>
        <v>0</v>
      </c>
      <c r="P39" s="1038">
        <f>IF('Project Information'!$L$4="Yes",L39-N39,0)</f>
        <v>0</v>
      </c>
      <c r="R39" s="1038">
        <f t="shared" si="28"/>
        <v>0</v>
      </c>
      <c r="T39" s="1038">
        <f t="shared" si="30"/>
        <v>0</v>
      </c>
      <c r="V39" s="1038">
        <f t="shared" si="29"/>
        <v>0</v>
      </c>
      <c r="W39" s="1006"/>
      <c r="X39" s="1038">
        <f t="shared" si="31"/>
        <v>0</v>
      </c>
      <c r="Z39" s="1006">
        <f t="shared" si="16"/>
        <v>26</v>
      </c>
      <c r="AA39" s="1035"/>
      <c r="AC39" s="1035" t="str">
        <f>IF(AA39="","",AA39*'Tax Credit Calculations'!$X$32)</f>
        <v/>
      </c>
      <c r="AE39" s="1030">
        <f t="shared" si="17"/>
        <v>0</v>
      </c>
      <c r="AF39" s="1030"/>
      <c r="AG39" s="1030" t="str">
        <f t="shared" si="18"/>
        <v xml:space="preserve">  </v>
      </c>
      <c r="AH39" s="1068"/>
      <c r="AI39" s="1069"/>
      <c r="AK39" s="1069" t="str">
        <f>IF(AI39="","",AI39*'Tax Credit Calculations'!$V$32)</f>
        <v/>
      </c>
      <c r="AM39" s="1030" t="str">
        <f t="shared" si="19"/>
        <v xml:space="preserve">  </v>
      </c>
      <c r="AO39" s="1030" t="str">
        <f t="shared" si="20"/>
        <v xml:space="preserve">  </v>
      </c>
      <c r="AP39" s="1030"/>
      <c r="AQ39" s="1003"/>
      <c r="AR39" s="999">
        <f t="shared" si="21"/>
        <v>26</v>
      </c>
      <c r="AS39" s="999">
        <f t="shared" si="3"/>
        <v>0</v>
      </c>
      <c r="AT39" s="999"/>
      <c r="AU39" s="999">
        <f t="shared" si="4"/>
        <v>0</v>
      </c>
      <c r="AV39" s="999"/>
      <c r="AW39" s="1070">
        <f t="shared" si="5"/>
        <v>0</v>
      </c>
      <c r="AX39" s="999"/>
      <c r="AY39" s="1059">
        <f t="shared" si="6"/>
        <v>0</v>
      </c>
      <c r="AZ39" s="999"/>
      <c r="BA39" s="1016">
        <f t="shared" si="7"/>
        <v>0</v>
      </c>
      <c r="BB39" s="1016"/>
      <c r="BC39" s="999">
        <f t="shared" si="8"/>
        <v>0</v>
      </c>
      <c r="BE39" s="1003"/>
      <c r="BG39" s="1031">
        <f t="shared" si="26"/>
        <v>26</v>
      </c>
      <c r="BH39" s="1031"/>
      <c r="BI39" s="1016">
        <f t="shared" si="9"/>
        <v>0</v>
      </c>
      <c r="BJ39" s="1016"/>
      <c r="BK39" s="1016">
        <f t="shared" si="10"/>
        <v>0</v>
      </c>
      <c r="BN39" s="1006">
        <f t="shared" si="22"/>
        <v>26</v>
      </c>
      <c r="BO39" s="1070">
        <f t="shared" si="11"/>
        <v>0</v>
      </c>
      <c r="BP39" s="999">
        <f t="shared" si="0"/>
        <v>0</v>
      </c>
      <c r="BQ39" s="1070">
        <f t="shared" si="12"/>
        <v>0</v>
      </c>
      <c r="BR39" s="999">
        <f t="shared" si="13"/>
        <v>0</v>
      </c>
      <c r="BS39" s="1057">
        <f t="shared" si="1"/>
        <v>0</v>
      </c>
      <c r="BT39" s="999">
        <f t="shared" si="14"/>
        <v>0</v>
      </c>
      <c r="BU39" s="999"/>
      <c r="BV39" s="1006" t="str">
        <f t="shared" si="23"/>
        <v>*</v>
      </c>
      <c r="BW39" s="1006" t="str">
        <f t="shared" si="24"/>
        <v>*</v>
      </c>
      <c r="BX39" s="1015">
        <f t="shared" si="25"/>
        <v>0</v>
      </c>
      <c r="BZ39" s="999">
        <f t="shared" si="2"/>
        <v>0</v>
      </c>
      <c r="CA39" s="999" t="str">
        <f t="shared" si="15"/>
        <v/>
      </c>
    </row>
    <row r="40" spans="1:79" x14ac:dyDescent="0.2">
      <c r="A40" s="58" t="s">
        <v>226</v>
      </c>
      <c r="D40" s="1035">
        <f>'MH Underwriting'!P47</f>
        <v>0</v>
      </c>
      <c r="E40" s="295"/>
      <c r="F40" s="1091">
        <f>D49</f>
        <v>0</v>
      </c>
      <c r="G40" s="295"/>
      <c r="H40" s="1036">
        <f t="shared" si="27"/>
        <v>0</v>
      </c>
      <c r="J40" s="1042" t="s">
        <v>1025</v>
      </c>
      <c r="K40" s="1006"/>
      <c r="L40" s="1038">
        <f>'Project Costs &amp; Basis'!S65+'Project Costs &amp; Basis'!Q65</f>
        <v>0</v>
      </c>
      <c r="N40" s="1038">
        <f>'Project Costs &amp; Basis'!Q65</f>
        <v>0</v>
      </c>
      <c r="P40" s="1038">
        <f>IF('Project Information'!$L$4="Yes",L40-N40,0)</f>
        <v>0</v>
      </c>
      <c r="R40" s="1038">
        <f t="shared" si="28"/>
        <v>0</v>
      </c>
      <c r="T40" s="1038">
        <f t="shared" si="30"/>
        <v>0</v>
      </c>
      <c r="V40" s="1038">
        <f t="shared" si="29"/>
        <v>0</v>
      </c>
      <c r="W40" s="1006"/>
      <c r="X40" s="1038">
        <f t="shared" si="31"/>
        <v>0</v>
      </c>
      <c r="Z40" s="1006">
        <f t="shared" si="16"/>
        <v>27</v>
      </c>
      <c r="AA40" s="1035"/>
      <c r="AC40" s="1035" t="str">
        <f>IF(AA40="","",AA40*'Tax Credit Calculations'!$X$32)</f>
        <v/>
      </c>
      <c r="AE40" s="1030">
        <f t="shared" si="17"/>
        <v>0</v>
      </c>
      <c r="AF40" s="1030"/>
      <c r="AG40" s="1030" t="str">
        <f t="shared" si="18"/>
        <v xml:space="preserve">  </v>
      </c>
      <c r="AH40" s="1068"/>
      <c r="AI40" s="1069"/>
      <c r="AK40" s="1069" t="str">
        <f>IF(AI40="","",AI40*'Tax Credit Calculations'!$V$32)</f>
        <v/>
      </c>
      <c r="AM40" s="1030" t="str">
        <f t="shared" si="19"/>
        <v xml:space="preserve">  </v>
      </c>
      <c r="AO40" s="1030" t="str">
        <f t="shared" si="20"/>
        <v xml:space="preserve">  </v>
      </c>
      <c r="AQ40" s="1070"/>
      <c r="AR40" s="999">
        <f t="shared" si="21"/>
        <v>27</v>
      </c>
      <c r="AS40" s="999">
        <f t="shared" si="3"/>
        <v>0</v>
      </c>
      <c r="AT40" s="999"/>
      <c r="AU40" s="999">
        <f t="shared" si="4"/>
        <v>0</v>
      </c>
      <c r="AV40" s="999"/>
      <c r="AW40" s="1070">
        <f t="shared" si="5"/>
        <v>0</v>
      </c>
      <c r="AX40" s="999"/>
      <c r="AY40" s="1059">
        <f t="shared" si="6"/>
        <v>0</v>
      </c>
      <c r="AZ40" s="999"/>
      <c r="BA40" s="1016">
        <f t="shared" si="7"/>
        <v>0</v>
      </c>
      <c r="BB40" s="1016"/>
      <c r="BC40" s="999">
        <f t="shared" si="8"/>
        <v>0</v>
      </c>
      <c r="BE40" s="1003"/>
      <c r="BG40" s="1031">
        <f t="shared" si="26"/>
        <v>27</v>
      </c>
      <c r="BH40" s="1031"/>
      <c r="BI40" s="1016">
        <f t="shared" si="9"/>
        <v>0</v>
      </c>
      <c r="BJ40" s="1016"/>
      <c r="BK40" s="1016">
        <f t="shared" si="10"/>
        <v>0</v>
      </c>
      <c r="BN40" s="1006">
        <f t="shared" si="22"/>
        <v>27</v>
      </c>
      <c r="BO40" s="1070">
        <f t="shared" si="11"/>
        <v>0</v>
      </c>
      <c r="BP40" s="999">
        <f t="shared" si="0"/>
        <v>0</v>
      </c>
      <c r="BQ40" s="1070">
        <f t="shared" si="12"/>
        <v>0</v>
      </c>
      <c r="BR40" s="999">
        <f t="shared" si="13"/>
        <v>0</v>
      </c>
      <c r="BS40" s="1057">
        <f t="shared" si="1"/>
        <v>0</v>
      </c>
      <c r="BT40" s="999">
        <f t="shared" si="14"/>
        <v>0</v>
      </c>
      <c r="BU40" s="999"/>
      <c r="BV40" s="1006" t="str">
        <f t="shared" si="23"/>
        <v>*</v>
      </c>
      <c r="BW40" s="1006" t="str">
        <f t="shared" si="24"/>
        <v>*</v>
      </c>
      <c r="BX40" s="1015">
        <f t="shared" si="25"/>
        <v>0</v>
      </c>
      <c r="BZ40" s="999">
        <f t="shared" si="2"/>
        <v>0</v>
      </c>
      <c r="CA40" s="999" t="str">
        <f t="shared" si="15"/>
        <v/>
      </c>
    </row>
    <row r="41" spans="1:79" x14ac:dyDescent="0.2">
      <c r="A41" s="58" t="s">
        <v>424</v>
      </c>
      <c r="D41" s="1035">
        <f>'MH Underwriting'!P57</f>
        <v>0</v>
      </c>
      <c r="E41" s="295"/>
      <c r="F41" s="1084">
        <f>SUM(F38:F40)</f>
        <v>0</v>
      </c>
      <c r="G41" s="295"/>
      <c r="H41" s="1036">
        <f t="shared" si="27"/>
        <v>0</v>
      </c>
      <c r="J41" s="1042" t="s">
        <v>1048</v>
      </c>
      <c r="K41" s="1006"/>
      <c r="L41" s="1038">
        <f>'Project Costs &amp; Basis'!S88+'Project Costs &amp; Basis'!Q88</f>
        <v>0</v>
      </c>
      <c r="N41" s="1038">
        <f>'Project Costs &amp; Basis'!Q88</f>
        <v>0</v>
      </c>
      <c r="P41" s="1038">
        <f>IF('Project Information'!$L$4="Yes",L41-N41,0)</f>
        <v>0</v>
      </c>
      <c r="R41" s="1038">
        <f t="shared" si="28"/>
        <v>0</v>
      </c>
      <c r="T41" s="1038">
        <f t="shared" si="30"/>
        <v>0</v>
      </c>
      <c r="V41" s="1038">
        <f t="shared" si="29"/>
        <v>0</v>
      </c>
      <c r="W41" s="1006"/>
      <c r="X41" s="1038">
        <f t="shared" si="31"/>
        <v>0</v>
      </c>
      <c r="Z41" s="1006">
        <f t="shared" si="16"/>
        <v>28</v>
      </c>
      <c r="AA41" s="1035"/>
      <c r="AC41" s="1035" t="str">
        <f>IF(AA41="","",AA41*'Tax Credit Calculations'!$X$32)</f>
        <v/>
      </c>
      <c r="AE41" s="1030">
        <f t="shared" si="17"/>
        <v>0</v>
      </c>
      <c r="AF41" s="1030"/>
      <c r="AG41" s="1030" t="str">
        <f t="shared" si="18"/>
        <v xml:space="preserve">  </v>
      </c>
      <c r="AH41" s="1068"/>
      <c r="AI41" s="1069"/>
      <c r="AK41" s="1069" t="str">
        <f>IF(AI41="","",AI41*'Tax Credit Calculations'!$V$32)</f>
        <v/>
      </c>
      <c r="AM41" s="1030" t="str">
        <f t="shared" si="19"/>
        <v xml:space="preserve">  </v>
      </c>
      <c r="AO41" s="1030" t="str">
        <f t="shared" si="20"/>
        <v xml:space="preserve">  </v>
      </c>
      <c r="AP41" s="1030"/>
      <c r="AQ41" s="1070"/>
      <c r="AR41" s="999">
        <f t="shared" si="21"/>
        <v>28</v>
      </c>
      <c r="AS41" s="999">
        <f t="shared" si="3"/>
        <v>0</v>
      </c>
      <c r="AT41" s="999"/>
      <c r="AU41" s="999">
        <f t="shared" si="4"/>
        <v>0</v>
      </c>
      <c r="AV41" s="999"/>
      <c r="AW41" s="1070">
        <f t="shared" si="5"/>
        <v>0</v>
      </c>
      <c r="AX41" s="999"/>
      <c r="AY41" s="1059">
        <f t="shared" si="6"/>
        <v>0</v>
      </c>
      <c r="AZ41" s="999"/>
      <c r="BA41" s="1016">
        <f t="shared" si="7"/>
        <v>0</v>
      </c>
      <c r="BB41" s="1016"/>
      <c r="BC41" s="999">
        <f t="shared" si="8"/>
        <v>0</v>
      </c>
      <c r="BE41" s="1003"/>
      <c r="BF41" s="999"/>
      <c r="BG41" s="1031">
        <f t="shared" si="26"/>
        <v>28</v>
      </c>
      <c r="BH41" s="1031"/>
      <c r="BI41" s="1016">
        <f t="shared" si="9"/>
        <v>0</v>
      </c>
      <c r="BJ41" s="1016"/>
      <c r="BK41" s="1016">
        <f t="shared" si="10"/>
        <v>0</v>
      </c>
      <c r="BN41" s="1006">
        <f t="shared" si="22"/>
        <v>28</v>
      </c>
      <c r="BO41" s="1070">
        <f t="shared" si="11"/>
        <v>0</v>
      </c>
      <c r="BP41" s="999">
        <f t="shared" si="0"/>
        <v>0</v>
      </c>
      <c r="BQ41" s="1070">
        <f t="shared" si="12"/>
        <v>0</v>
      </c>
      <c r="BR41" s="999">
        <f t="shared" si="13"/>
        <v>0</v>
      </c>
      <c r="BS41" s="1057">
        <f t="shared" si="1"/>
        <v>0</v>
      </c>
      <c r="BT41" s="999">
        <f t="shared" si="14"/>
        <v>0</v>
      </c>
      <c r="BU41" s="999"/>
      <c r="BV41" s="1006" t="str">
        <f t="shared" si="23"/>
        <v>*</v>
      </c>
      <c r="BW41" s="1006" t="str">
        <f t="shared" si="24"/>
        <v>*</v>
      </c>
      <c r="BX41" s="1015">
        <f t="shared" si="25"/>
        <v>0</v>
      </c>
      <c r="BZ41" s="999">
        <f t="shared" si="2"/>
        <v>0</v>
      </c>
      <c r="CA41" s="999" t="str">
        <f t="shared" si="15"/>
        <v/>
      </c>
    </row>
    <row r="42" spans="1:79" x14ac:dyDescent="0.2">
      <c r="A42" s="58" t="s">
        <v>422</v>
      </c>
      <c r="D42" s="1035">
        <f>'MH Underwriting'!P58</f>
        <v>0</v>
      </c>
      <c r="E42" s="295"/>
      <c r="F42" s="1084"/>
      <c r="G42" s="295"/>
      <c r="H42" s="1036">
        <f t="shared" si="27"/>
        <v>0</v>
      </c>
      <c r="J42" s="1042" t="s">
        <v>1048</v>
      </c>
      <c r="K42" s="1006"/>
      <c r="L42" s="1038">
        <f>'Project Costs &amp; Basis'!S90+'Project Costs &amp; Basis'!Q90</f>
        <v>0</v>
      </c>
      <c r="N42" s="1038">
        <f>'Project Costs &amp; Basis'!Q90</f>
        <v>0</v>
      </c>
      <c r="P42" s="1038">
        <f>IF('Project Information'!$L$4="Yes",L42-N42,0)</f>
        <v>0</v>
      </c>
      <c r="R42" s="1038">
        <f t="shared" si="28"/>
        <v>0</v>
      </c>
      <c r="T42" s="1038">
        <f t="shared" si="30"/>
        <v>0</v>
      </c>
      <c r="V42" s="1038">
        <f t="shared" si="29"/>
        <v>0</v>
      </c>
      <c r="W42" s="1006"/>
      <c r="X42" s="1038">
        <f t="shared" si="31"/>
        <v>0</v>
      </c>
      <c r="Z42" s="1006">
        <f t="shared" si="16"/>
        <v>29</v>
      </c>
      <c r="AA42" s="1035"/>
      <c r="AC42" s="1035" t="str">
        <f>IF(AA42="","",AA42*'Tax Credit Calculations'!$X$32)</f>
        <v/>
      </c>
      <c r="AE42" s="1030">
        <f t="shared" si="17"/>
        <v>0</v>
      </c>
      <c r="AF42" s="1030"/>
      <c r="AG42" s="1030" t="str">
        <f t="shared" si="18"/>
        <v xml:space="preserve">  </v>
      </c>
      <c r="AH42" s="1068"/>
      <c r="AI42" s="1069"/>
      <c r="AK42" s="1069" t="str">
        <f>IF(AI42="","",AI42*'Tax Credit Calculations'!$V$32)</f>
        <v/>
      </c>
      <c r="AM42" s="1030" t="str">
        <f t="shared" si="19"/>
        <v xml:space="preserve">  </v>
      </c>
      <c r="AO42" s="1030" t="str">
        <f t="shared" si="20"/>
        <v xml:space="preserve">  </v>
      </c>
      <c r="AP42" s="1030"/>
      <c r="AQ42" s="1070"/>
      <c r="AR42" s="999">
        <f t="shared" si="21"/>
        <v>29</v>
      </c>
      <c r="AS42" s="999">
        <f t="shared" si="3"/>
        <v>0</v>
      </c>
      <c r="AT42" s="999"/>
      <c r="AU42" s="999">
        <f t="shared" si="4"/>
        <v>0</v>
      </c>
      <c r="AV42" s="999"/>
      <c r="AW42" s="1070">
        <f t="shared" si="5"/>
        <v>0</v>
      </c>
      <c r="AX42" s="999"/>
      <c r="AY42" s="1059">
        <f t="shared" si="6"/>
        <v>0</v>
      </c>
      <c r="AZ42" s="999"/>
      <c r="BA42" s="1016">
        <f t="shared" si="7"/>
        <v>0</v>
      </c>
      <c r="BB42" s="1016"/>
      <c r="BC42" s="999">
        <f t="shared" si="8"/>
        <v>0</v>
      </c>
      <c r="BE42" s="1003"/>
      <c r="BG42" s="1031">
        <f t="shared" si="26"/>
        <v>29</v>
      </c>
      <c r="BH42" s="1031"/>
      <c r="BI42" s="1016">
        <f t="shared" si="9"/>
        <v>0</v>
      </c>
      <c r="BJ42" s="1016"/>
      <c r="BK42" s="1016">
        <f t="shared" si="10"/>
        <v>0</v>
      </c>
      <c r="BN42" s="1006">
        <f t="shared" si="22"/>
        <v>29</v>
      </c>
      <c r="BO42" s="1070">
        <f t="shared" si="11"/>
        <v>0</v>
      </c>
      <c r="BP42" s="999">
        <f t="shared" si="0"/>
        <v>0</v>
      </c>
      <c r="BQ42" s="1070">
        <f t="shared" si="12"/>
        <v>0</v>
      </c>
      <c r="BR42" s="999">
        <f t="shared" si="13"/>
        <v>0</v>
      </c>
      <c r="BS42" s="1057">
        <f t="shared" si="1"/>
        <v>0</v>
      </c>
      <c r="BT42" s="999">
        <f t="shared" si="14"/>
        <v>0</v>
      </c>
      <c r="BU42" s="999"/>
      <c r="BV42" s="1006" t="str">
        <f t="shared" si="23"/>
        <v>*</v>
      </c>
      <c r="BW42" s="1006" t="str">
        <f t="shared" si="24"/>
        <v>*</v>
      </c>
      <c r="BX42" s="1015">
        <f t="shared" si="25"/>
        <v>0</v>
      </c>
      <c r="BZ42" s="999">
        <f t="shared" si="2"/>
        <v>0</v>
      </c>
      <c r="CA42" s="999" t="str">
        <f t="shared" si="15"/>
        <v/>
      </c>
    </row>
    <row r="43" spans="1:79" x14ac:dyDescent="0.2">
      <c r="A43" s="58" t="s">
        <v>420</v>
      </c>
      <c r="D43" s="1035">
        <f>'MH Underwriting'!P59</f>
        <v>0</v>
      </c>
      <c r="E43" s="295"/>
      <c r="F43" s="1085"/>
      <c r="G43" s="295"/>
      <c r="H43" s="1036">
        <f t="shared" si="27"/>
        <v>0</v>
      </c>
      <c r="J43" s="1042" t="s">
        <v>1048</v>
      </c>
      <c r="K43" s="1006"/>
      <c r="L43" s="1038">
        <f>'Project Costs &amp; Basis'!S92+'Project Costs &amp; Basis'!Q92</f>
        <v>0</v>
      </c>
      <c r="N43" s="1038">
        <f>'Project Costs &amp; Basis'!Q92</f>
        <v>0</v>
      </c>
      <c r="P43" s="1038">
        <f>IF('Project Information'!$L$4="Yes",L43-N43,0)</f>
        <v>0</v>
      </c>
      <c r="R43" s="1038">
        <f t="shared" si="28"/>
        <v>0</v>
      </c>
      <c r="T43" s="1038">
        <f t="shared" si="30"/>
        <v>0</v>
      </c>
      <c r="V43" s="1038">
        <f t="shared" si="29"/>
        <v>0</v>
      </c>
      <c r="W43" s="1006"/>
      <c r="X43" s="1038">
        <f t="shared" si="31"/>
        <v>0</v>
      </c>
      <c r="Z43" s="1006">
        <f t="shared" si="16"/>
        <v>30</v>
      </c>
      <c r="AA43" s="1035"/>
      <c r="AC43" s="1035" t="str">
        <f>IF(AA43="","",AA43*'Tax Credit Calculations'!$X$32)</f>
        <v/>
      </c>
      <c r="AE43" s="1030">
        <f t="shared" si="17"/>
        <v>0</v>
      </c>
      <c r="AF43" s="1030"/>
      <c r="AG43" s="1030" t="str">
        <f t="shared" si="18"/>
        <v xml:space="preserve">  </v>
      </c>
      <c r="AH43" s="1068"/>
      <c r="AI43" s="1069"/>
      <c r="AK43" s="1069" t="str">
        <f>IF(AI43="","",AI43*'Tax Credit Calculations'!$V$32)</f>
        <v/>
      </c>
      <c r="AM43" s="1030" t="str">
        <f t="shared" si="19"/>
        <v xml:space="preserve">  </v>
      </c>
      <c r="AO43" s="1030" t="str">
        <f t="shared" si="20"/>
        <v xml:space="preserve">  </v>
      </c>
      <c r="AP43" s="1030"/>
      <c r="AQ43" s="1070"/>
      <c r="AR43" s="999">
        <f t="shared" si="21"/>
        <v>30</v>
      </c>
      <c r="AS43" s="999">
        <f t="shared" si="3"/>
        <v>0</v>
      </c>
      <c r="AT43" s="999"/>
      <c r="AU43" s="999">
        <f t="shared" si="4"/>
        <v>0</v>
      </c>
      <c r="AV43" s="999"/>
      <c r="AW43" s="1070">
        <f t="shared" si="5"/>
        <v>0</v>
      </c>
      <c r="AX43" s="999"/>
      <c r="AY43" s="1059">
        <f t="shared" si="6"/>
        <v>0</v>
      </c>
      <c r="AZ43" s="999"/>
      <c r="BA43" s="1016">
        <f t="shared" si="7"/>
        <v>0</v>
      </c>
      <c r="BB43" s="1016"/>
      <c r="BC43" s="999">
        <f t="shared" si="8"/>
        <v>0</v>
      </c>
      <c r="BE43" s="1003"/>
      <c r="BG43" s="1031">
        <f t="shared" si="26"/>
        <v>30</v>
      </c>
      <c r="BH43" s="1031"/>
      <c r="BI43" s="1016">
        <f t="shared" si="9"/>
        <v>0</v>
      </c>
      <c r="BJ43" s="1016"/>
      <c r="BK43" s="1016">
        <f t="shared" si="10"/>
        <v>0</v>
      </c>
      <c r="BN43" s="1006">
        <f t="shared" si="22"/>
        <v>30</v>
      </c>
      <c r="BO43" s="1070">
        <f t="shared" si="11"/>
        <v>0</v>
      </c>
      <c r="BP43" s="999">
        <f t="shared" si="0"/>
        <v>0</v>
      </c>
      <c r="BQ43" s="1070">
        <f t="shared" si="12"/>
        <v>0</v>
      </c>
      <c r="BR43" s="999">
        <f t="shared" si="13"/>
        <v>0</v>
      </c>
      <c r="BS43" s="1057">
        <f t="shared" si="1"/>
        <v>0</v>
      </c>
      <c r="BT43" s="999">
        <f t="shared" si="14"/>
        <v>0</v>
      </c>
      <c r="BU43" s="999"/>
      <c r="BV43" s="1006" t="str">
        <f t="shared" si="23"/>
        <v>*</v>
      </c>
      <c r="BW43" s="1006" t="str">
        <f t="shared" si="24"/>
        <v>*</v>
      </c>
      <c r="BX43" s="1015">
        <f t="shared" si="25"/>
        <v>0</v>
      </c>
      <c r="BZ43" s="999">
        <f t="shared" si="2"/>
        <v>0</v>
      </c>
      <c r="CA43" s="999" t="str">
        <f t="shared" si="15"/>
        <v/>
      </c>
    </row>
    <row r="44" spans="1:79" x14ac:dyDescent="0.2">
      <c r="A44" s="58" t="s">
        <v>549</v>
      </c>
      <c r="D44" s="1035">
        <f>'MH Underwriting'!P60</f>
        <v>0</v>
      </c>
      <c r="E44" s="295"/>
      <c r="F44" s="1030"/>
      <c r="G44" s="295"/>
      <c r="H44" s="1036">
        <f>D44</f>
        <v>0</v>
      </c>
      <c r="J44" s="1042" t="s">
        <v>1048</v>
      </c>
      <c r="K44" s="1006"/>
      <c r="L44" s="1038">
        <f>'Project Costs &amp; Basis'!S94+'Project Costs &amp; Basis'!Q94</f>
        <v>0</v>
      </c>
      <c r="N44" s="1038">
        <f>'Project Costs &amp; Basis'!Q94</f>
        <v>0</v>
      </c>
      <c r="P44" s="1038">
        <f>IF('Project Information'!$L$4="Yes",L44-N44,0)</f>
        <v>0</v>
      </c>
      <c r="R44" s="1038">
        <f t="shared" si="28"/>
        <v>0</v>
      </c>
      <c r="T44" s="1038">
        <f t="shared" si="30"/>
        <v>0</v>
      </c>
      <c r="V44" s="1038">
        <f t="shared" si="29"/>
        <v>0</v>
      </c>
      <c r="W44" s="1006"/>
      <c r="X44" s="1038">
        <f t="shared" si="31"/>
        <v>0</v>
      </c>
      <c r="Z44" s="1006">
        <f t="shared" si="16"/>
        <v>31</v>
      </c>
      <c r="AA44" s="1035"/>
      <c r="AC44" s="1035" t="str">
        <f>IF(AA44="","",AA44*'Tax Credit Calculations'!$X$32)</f>
        <v/>
      </c>
      <c r="AE44" s="1030">
        <f t="shared" si="17"/>
        <v>0</v>
      </c>
      <c r="AF44" s="1030"/>
      <c r="AG44" s="1030" t="str">
        <f t="shared" si="18"/>
        <v xml:space="preserve">  </v>
      </c>
      <c r="AH44" s="1068"/>
      <c r="AI44" s="1069"/>
      <c r="AK44" s="1069" t="str">
        <f>IF(AI44="","",AI44*'Tax Credit Calculations'!$V$32)</f>
        <v/>
      </c>
      <c r="AM44" s="1030" t="str">
        <f t="shared" si="19"/>
        <v xml:space="preserve">  </v>
      </c>
      <c r="AO44" s="1030" t="str">
        <f t="shared" si="20"/>
        <v xml:space="preserve">  </v>
      </c>
      <c r="AP44" s="1030"/>
      <c r="AQ44" s="1070"/>
      <c r="AR44" s="999">
        <f t="shared" si="21"/>
        <v>31</v>
      </c>
      <c r="AS44" s="999">
        <f t="shared" si="3"/>
        <v>0</v>
      </c>
      <c r="AT44" s="999"/>
      <c r="AU44" s="999">
        <f t="shared" si="4"/>
        <v>0</v>
      </c>
      <c r="AV44" s="999"/>
      <c r="AW44" s="1070">
        <f t="shared" si="5"/>
        <v>0</v>
      </c>
      <c r="AX44" s="999"/>
      <c r="AY44" s="1059">
        <f t="shared" si="6"/>
        <v>0</v>
      </c>
      <c r="AZ44" s="999"/>
      <c r="BA44" s="1016">
        <f t="shared" si="7"/>
        <v>0</v>
      </c>
      <c r="BB44" s="1016"/>
      <c r="BC44" s="999">
        <f t="shared" si="8"/>
        <v>0</v>
      </c>
      <c r="BE44" s="1003"/>
      <c r="BG44" s="1031">
        <f t="shared" si="26"/>
        <v>31</v>
      </c>
      <c r="BH44" s="1031"/>
      <c r="BI44" s="1016">
        <f t="shared" si="9"/>
        <v>0</v>
      </c>
      <c r="BJ44" s="1016"/>
      <c r="BK44" s="1016">
        <f t="shared" si="10"/>
        <v>0</v>
      </c>
      <c r="BN44" s="1006">
        <f t="shared" si="22"/>
        <v>31</v>
      </c>
      <c r="BO44" s="1070">
        <f t="shared" si="11"/>
        <v>0</v>
      </c>
      <c r="BP44" s="999">
        <f t="shared" si="0"/>
        <v>0</v>
      </c>
      <c r="BQ44" s="1070">
        <f t="shared" si="12"/>
        <v>0</v>
      </c>
      <c r="BR44" s="999">
        <f t="shared" si="13"/>
        <v>0</v>
      </c>
      <c r="BS44" s="1057">
        <f t="shared" si="1"/>
        <v>0</v>
      </c>
      <c r="BT44" s="999">
        <f t="shared" si="14"/>
        <v>0</v>
      </c>
      <c r="BU44" s="999"/>
      <c r="BV44" s="1006" t="str">
        <f t="shared" si="23"/>
        <v>*</v>
      </c>
      <c r="BW44" s="1006" t="str">
        <f t="shared" si="24"/>
        <v>*</v>
      </c>
      <c r="BX44" s="1015">
        <f t="shared" si="25"/>
        <v>0</v>
      </c>
      <c r="BZ44" s="999">
        <f t="shared" si="2"/>
        <v>0</v>
      </c>
      <c r="CA44" s="999" t="str">
        <f t="shared" si="15"/>
        <v/>
      </c>
    </row>
    <row r="45" spans="1:79" x14ac:dyDescent="0.2">
      <c r="A45" s="58" t="s">
        <v>226</v>
      </c>
      <c r="D45" s="1035">
        <f>'MH Underwriting'!P65</f>
        <v>0</v>
      </c>
      <c r="E45" s="295"/>
      <c r="F45" s="1030"/>
      <c r="G45" s="295"/>
      <c r="H45" s="1036">
        <f>D45</f>
        <v>0</v>
      </c>
      <c r="J45" s="1042" t="s">
        <v>1048</v>
      </c>
      <c r="K45" s="1006"/>
      <c r="L45" s="1038">
        <f>'Project Costs &amp; Basis'!S96+'Project Costs &amp; Basis'!Q96</f>
        <v>0</v>
      </c>
      <c r="N45" s="1038">
        <f>'Project Costs &amp; Basis'!Q96</f>
        <v>0</v>
      </c>
      <c r="P45" s="1038">
        <f>IF('Project Information'!$L$4="Yes",L45-N45,0)</f>
        <v>0</v>
      </c>
      <c r="R45" s="1038">
        <f t="shared" si="28"/>
        <v>0</v>
      </c>
      <c r="T45" s="1038">
        <f t="shared" si="30"/>
        <v>0</v>
      </c>
      <c r="V45" s="1038">
        <f t="shared" si="29"/>
        <v>0</v>
      </c>
      <c r="W45" s="1006"/>
      <c r="X45" s="1038">
        <f t="shared" si="31"/>
        <v>0</v>
      </c>
      <c r="Z45" s="1006">
        <f t="shared" si="16"/>
        <v>32</v>
      </c>
      <c r="AA45" s="1035"/>
      <c r="AC45" s="1035" t="str">
        <f>IF(AA45="","",AA45*'Tax Credit Calculations'!$X$32)</f>
        <v/>
      </c>
      <c r="AE45" s="1030">
        <f t="shared" si="17"/>
        <v>0</v>
      </c>
      <c r="AF45" s="1030"/>
      <c r="AG45" s="1030" t="str">
        <f t="shared" si="18"/>
        <v xml:space="preserve">  </v>
      </c>
      <c r="AH45" s="1068"/>
      <c r="AI45" s="1069"/>
      <c r="AK45" s="1069" t="str">
        <f>IF(AI45="","",AI45*'Tax Credit Calculations'!$V$32)</f>
        <v/>
      </c>
      <c r="AM45" s="1030" t="str">
        <f t="shared" si="19"/>
        <v xml:space="preserve">  </v>
      </c>
      <c r="AO45" s="1030" t="str">
        <f t="shared" si="20"/>
        <v xml:space="preserve">  </v>
      </c>
      <c r="AP45" s="1030"/>
      <c r="AQ45" s="1070"/>
      <c r="AR45" s="999">
        <f t="shared" si="21"/>
        <v>32</v>
      </c>
      <c r="AS45" s="999">
        <f t="shared" si="3"/>
        <v>0</v>
      </c>
      <c r="AT45" s="999"/>
      <c r="AU45" s="999">
        <f t="shared" si="4"/>
        <v>0</v>
      </c>
      <c r="AV45" s="999"/>
      <c r="AW45" s="1070">
        <f t="shared" si="5"/>
        <v>0</v>
      </c>
      <c r="AX45" s="999"/>
      <c r="AY45" s="1059">
        <f t="shared" si="6"/>
        <v>0</v>
      </c>
      <c r="AZ45" s="999"/>
      <c r="BA45" s="1016">
        <f t="shared" si="7"/>
        <v>0</v>
      </c>
      <c r="BB45" s="1016"/>
      <c r="BC45" s="999">
        <f t="shared" si="8"/>
        <v>0</v>
      </c>
      <c r="BE45" s="1003"/>
      <c r="BG45" s="1031">
        <f t="shared" si="26"/>
        <v>32</v>
      </c>
      <c r="BH45" s="1031"/>
      <c r="BI45" s="1016">
        <f t="shared" si="9"/>
        <v>0</v>
      </c>
      <c r="BJ45" s="1016"/>
      <c r="BK45" s="1016">
        <f t="shared" si="10"/>
        <v>0</v>
      </c>
      <c r="BN45" s="1006">
        <f t="shared" si="22"/>
        <v>32</v>
      </c>
      <c r="BO45" s="1070">
        <f t="shared" si="11"/>
        <v>0</v>
      </c>
      <c r="BP45" s="999">
        <f t="shared" si="0"/>
        <v>0</v>
      </c>
      <c r="BQ45" s="1070">
        <f t="shared" si="12"/>
        <v>0</v>
      </c>
      <c r="BR45" s="999">
        <f t="shared" si="13"/>
        <v>0</v>
      </c>
      <c r="BS45" s="1057">
        <f t="shared" si="1"/>
        <v>0</v>
      </c>
      <c r="BT45" s="999">
        <f t="shared" si="14"/>
        <v>0</v>
      </c>
      <c r="BU45" s="999"/>
      <c r="BV45" s="1006" t="str">
        <f t="shared" si="23"/>
        <v>*</v>
      </c>
      <c r="BW45" s="1006" t="str">
        <f t="shared" si="24"/>
        <v>*</v>
      </c>
      <c r="BX45" s="1015">
        <f t="shared" si="25"/>
        <v>0</v>
      </c>
      <c r="BZ45" s="999">
        <f t="shared" si="2"/>
        <v>0</v>
      </c>
      <c r="CA45" s="999" t="str">
        <f t="shared" si="15"/>
        <v/>
      </c>
    </row>
    <row r="46" spans="1:79" x14ac:dyDescent="0.2">
      <c r="A46" s="58" t="s">
        <v>418</v>
      </c>
      <c r="D46" s="1035">
        <f>'MH Underwriting'!P61</f>
        <v>0</v>
      </c>
      <c r="E46" s="295"/>
      <c r="F46" s="1030"/>
      <c r="G46" s="295"/>
      <c r="H46" s="1036">
        <f>D46</f>
        <v>0</v>
      </c>
      <c r="J46" s="1042" t="s">
        <v>1048</v>
      </c>
      <c r="K46" s="1006"/>
      <c r="L46" s="1038">
        <f>'Project Costs &amp; Basis'!S110+'Project Costs &amp; Basis'!Q110</f>
        <v>0</v>
      </c>
      <c r="N46" s="1038">
        <f>'Project Costs &amp; Basis'!Q110</f>
        <v>0</v>
      </c>
      <c r="P46" s="1038">
        <f>IF('Project Information'!$L$4="Yes",L46-N46,0)</f>
        <v>0</v>
      </c>
      <c r="R46" s="1038">
        <f t="shared" si="28"/>
        <v>0</v>
      </c>
      <c r="T46" s="1038">
        <f t="shared" si="30"/>
        <v>0</v>
      </c>
      <c r="V46" s="1038">
        <f t="shared" si="29"/>
        <v>0</v>
      </c>
      <c r="W46" s="1006"/>
      <c r="X46" s="1038">
        <f t="shared" si="31"/>
        <v>0</v>
      </c>
      <c r="Z46" s="1006">
        <f t="shared" si="16"/>
        <v>33</v>
      </c>
      <c r="AA46" s="1035"/>
      <c r="AC46" s="1035" t="str">
        <f>IF(AA46="","",AA46*'Tax Credit Calculations'!$X$32)</f>
        <v/>
      </c>
      <c r="AE46" s="1030">
        <f t="shared" si="17"/>
        <v>0</v>
      </c>
      <c r="AF46" s="1030"/>
      <c r="AG46" s="1030" t="str">
        <f t="shared" si="18"/>
        <v xml:space="preserve">  </v>
      </c>
      <c r="AH46" s="1068"/>
      <c r="AI46" s="1069"/>
      <c r="AK46" s="1069" t="str">
        <f>IF(AI46="","",AI46*'Tax Credit Calculations'!$V$32)</f>
        <v/>
      </c>
      <c r="AM46" s="1030" t="str">
        <f t="shared" si="19"/>
        <v xml:space="preserve">  </v>
      </c>
      <c r="AO46" s="1030" t="str">
        <f t="shared" si="20"/>
        <v xml:space="preserve">  </v>
      </c>
      <c r="AP46" s="1030"/>
      <c r="AQ46" s="1070"/>
      <c r="AR46" s="999">
        <f t="shared" si="21"/>
        <v>33</v>
      </c>
      <c r="AS46" s="999">
        <f t="shared" si="3"/>
        <v>0</v>
      </c>
      <c r="AT46" s="999"/>
      <c r="AU46" s="999">
        <f t="shared" si="4"/>
        <v>0</v>
      </c>
      <c r="AV46" s="999"/>
      <c r="AW46" s="1070">
        <f t="shared" si="5"/>
        <v>0</v>
      </c>
      <c r="AX46" s="999"/>
      <c r="AY46" s="1059">
        <f t="shared" si="6"/>
        <v>0</v>
      </c>
      <c r="AZ46" s="999"/>
      <c r="BA46" s="1016">
        <f t="shared" si="7"/>
        <v>0</v>
      </c>
      <c r="BB46" s="1016"/>
      <c r="BC46" s="999">
        <f t="shared" si="8"/>
        <v>0</v>
      </c>
      <c r="BE46" s="1003"/>
      <c r="BG46" s="1031">
        <f t="shared" si="26"/>
        <v>33</v>
      </c>
      <c r="BH46" s="1031"/>
      <c r="BI46" s="1016">
        <f t="shared" si="9"/>
        <v>0</v>
      </c>
      <c r="BJ46" s="1016"/>
      <c r="BK46" s="1016">
        <f t="shared" si="10"/>
        <v>0</v>
      </c>
      <c r="BN46" s="1006">
        <f t="shared" si="22"/>
        <v>33</v>
      </c>
      <c r="BO46" s="1070">
        <f t="shared" si="11"/>
        <v>0</v>
      </c>
      <c r="BP46" s="999">
        <f t="shared" si="0"/>
        <v>0</v>
      </c>
      <c r="BQ46" s="1070">
        <f t="shared" si="12"/>
        <v>0</v>
      </c>
      <c r="BR46" s="999">
        <f t="shared" si="13"/>
        <v>0</v>
      </c>
      <c r="BS46" s="1057">
        <f t="shared" si="1"/>
        <v>0</v>
      </c>
      <c r="BT46" s="999">
        <f t="shared" si="14"/>
        <v>0</v>
      </c>
      <c r="BU46" s="999"/>
      <c r="BV46" s="1006" t="str">
        <f t="shared" si="23"/>
        <v>*</v>
      </c>
      <c r="BW46" s="1006" t="str">
        <f t="shared" si="24"/>
        <v>*</v>
      </c>
      <c r="BX46" s="1015">
        <f t="shared" si="25"/>
        <v>0</v>
      </c>
      <c r="BZ46" s="999">
        <f t="shared" si="2"/>
        <v>0</v>
      </c>
      <c r="CA46" s="999" t="str">
        <f t="shared" si="15"/>
        <v/>
      </c>
    </row>
    <row r="47" spans="1:79" x14ac:dyDescent="0.2">
      <c r="A47" s="58" t="s">
        <v>416</v>
      </c>
      <c r="D47" s="1035">
        <f>'MH Underwriting'!P62</f>
        <v>0</v>
      </c>
      <c r="E47" s="295"/>
      <c r="G47" s="295"/>
      <c r="H47" s="1036">
        <f t="shared" si="27"/>
        <v>0</v>
      </c>
      <c r="J47" s="1042" t="s">
        <v>1025</v>
      </c>
      <c r="K47" s="1006"/>
      <c r="L47" s="1038">
        <f>'Project Costs &amp; Basis'!S116+'Project Costs &amp; Basis'!Q116</f>
        <v>0</v>
      </c>
      <c r="N47" s="1038">
        <f>'Project Costs &amp; Basis'!Q116</f>
        <v>0</v>
      </c>
      <c r="P47" s="1038">
        <f>IF('Project Information'!$L$4="Yes",L47-N47,0)</f>
        <v>0</v>
      </c>
      <c r="R47" s="1038">
        <f t="shared" si="28"/>
        <v>0</v>
      </c>
      <c r="T47" s="1038">
        <f t="shared" si="30"/>
        <v>0</v>
      </c>
      <c r="V47" s="1038">
        <f t="shared" si="29"/>
        <v>0</v>
      </c>
      <c r="W47" s="1006"/>
      <c r="X47" s="1038">
        <f t="shared" si="31"/>
        <v>0</v>
      </c>
      <c r="Z47" s="1006">
        <f t="shared" si="16"/>
        <v>34</v>
      </c>
      <c r="AA47" s="1035"/>
      <c r="AC47" s="1035" t="str">
        <f>IF(AA47="","",AA47*'Tax Credit Calculations'!$X$32)</f>
        <v/>
      </c>
      <c r="AE47" s="1030">
        <f t="shared" si="17"/>
        <v>0</v>
      </c>
      <c r="AF47" s="1030"/>
      <c r="AG47" s="1030" t="str">
        <f t="shared" si="18"/>
        <v xml:space="preserve">  </v>
      </c>
      <c r="AH47" s="1068"/>
      <c r="AI47" s="1069"/>
      <c r="AK47" s="1069" t="str">
        <f>IF(AI47="","",AI47*'Tax Credit Calculations'!$V$32)</f>
        <v/>
      </c>
      <c r="AM47" s="1030" t="str">
        <f t="shared" si="19"/>
        <v xml:space="preserve">  </v>
      </c>
      <c r="AO47" s="1030" t="str">
        <f t="shared" si="20"/>
        <v xml:space="preserve">  </v>
      </c>
      <c r="AP47" s="1030"/>
      <c r="AQ47" s="1070"/>
      <c r="AR47" s="999">
        <f t="shared" si="21"/>
        <v>34</v>
      </c>
      <c r="AS47" s="999">
        <f t="shared" si="3"/>
        <v>0</v>
      </c>
      <c r="AT47" s="999"/>
      <c r="AU47" s="999">
        <f t="shared" si="4"/>
        <v>0</v>
      </c>
      <c r="AV47" s="999"/>
      <c r="AW47" s="1070">
        <f t="shared" si="5"/>
        <v>0</v>
      </c>
      <c r="AX47" s="999"/>
      <c r="AY47" s="1059">
        <f t="shared" si="6"/>
        <v>0</v>
      </c>
      <c r="AZ47" s="999"/>
      <c r="BA47" s="1016">
        <f t="shared" si="7"/>
        <v>0</v>
      </c>
      <c r="BB47" s="1016"/>
      <c r="BC47" s="999">
        <f t="shared" si="8"/>
        <v>0</v>
      </c>
      <c r="BE47" s="1003"/>
      <c r="BG47" s="1031">
        <f t="shared" si="26"/>
        <v>34</v>
      </c>
      <c r="BH47" s="1031"/>
      <c r="BI47" s="1016">
        <f t="shared" si="9"/>
        <v>0</v>
      </c>
      <c r="BJ47" s="1016"/>
      <c r="BK47" s="1016">
        <f t="shared" si="10"/>
        <v>0</v>
      </c>
      <c r="BN47" s="1006">
        <f t="shared" si="22"/>
        <v>34</v>
      </c>
      <c r="BO47" s="1070">
        <f t="shared" si="11"/>
        <v>0</v>
      </c>
      <c r="BP47" s="999">
        <f t="shared" si="0"/>
        <v>0</v>
      </c>
      <c r="BQ47" s="1070">
        <f t="shared" si="12"/>
        <v>0</v>
      </c>
      <c r="BR47" s="999">
        <f t="shared" si="13"/>
        <v>0</v>
      </c>
      <c r="BS47" s="1057">
        <f t="shared" si="1"/>
        <v>0</v>
      </c>
      <c r="BT47" s="999">
        <f t="shared" si="14"/>
        <v>0</v>
      </c>
      <c r="BU47" s="999"/>
      <c r="BV47" s="1006" t="str">
        <f t="shared" si="23"/>
        <v>*</v>
      </c>
      <c r="BW47" s="1006" t="str">
        <f t="shared" si="24"/>
        <v>*</v>
      </c>
      <c r="BX47" s="1015">
        <f t="shared" si="25"/>
        <v>0</v>
      </c>
      <c r="BZ47" s="999">
        <f t="shared" si="2"/>
        <v>0</v>
      </c>
      <c r="CA47" s="999" t="str">
        <f t="shared" si="15"/>
        <v/>
      </c>
    </row>
    <row r="48" spans="1:79" ht="10.8" thickBot="1" x14ac:dyDescent="0.25">
      <c r="A48" s="58" t="s">
        <v>414</v>
      </c>
      <c r="D48" s="1035">
        <f>'MH Underwriting'!P63</f>
        <v>0</v>
      </c>
      <c r="E48" s="295"/>
      <c r="G48" s="295"/>
      <c r="H48" s="1036">
        <f t="shared" si="27"/>
        <v>0</v>
      </c>
      <c r="J48" s="1042" t="s">
        <v>1025</v>
      </c>
      <c r="K48" s="1006"/>
      <c r="L48" s="1038">
        <f>'Project Costs &amp; Basis'!S118+'Project Costs &amp; Basis'!Q118</f>
        <v>0</v>
      </c>
      <c r="N48" s="1038">
        <f>'Project Costs &amp; Basis'!Q118</f>
        <v>0</v>
      </c>
      <c r="P48" s="1038">
        <f>IF('Project Information'!$L$4="Yes",L48-N48,0)</f>
        <v>0</v>
      </c>
      <c r="R48" s="1038">
        <f t="shared" si="28"/>
        <v>0</v>
      </c>
      <c r="T48" s="1038">
        <f t="shared" si="30"/>
        <v>0</v>
      </c>
      <c r="V48" s="1038">
        <f t="shared" si="29"/>
        <v>0</v>
      </c>
      <c r="W48" s="1006"/>
      <c r="X48" s="1038">
        <f t="shared" si="31"/>
        <v>0</v>
      </c>
      <c r="Z48" s="1006">
        <f t="shared" si="16"/>
        <v>35</v>
      </c>
      <c r="AA48" s="1035"/>
      <c r="AC48" s="1035" t="str">
        <f>IF(AA48="","",AA48*'Tax Credit Calculations'!$X$32)</f>
        <v/>
      </c>
      <c r="AE48" s="1030">
        <f t="shared" si="17"/>
        <v>0</v>
      </c>
      <c r="AF48" s="1030"/>
      <c r="AG48" s="1030" t="str">
        <f t="shared" si="18"/>
        <v xml:space="preserve">  </v>
      </c>
      <c r="AH48" s="1068"/>
      <c r="AI48" s="1069"/>
      <c r="AK48" s="1069" t="str">
        <f>IF(AI48="","",AI48*'Tax Credit Calculations'!$V$32)</f>
        <v/>
      </c>
      <c r="AM48" s="1030" t="str">
        <f t="shared" si="19"/>
        <v xml:space="preserve">  </v>
      </c>
      <c r="AO48" s="1030" t="str">
        <f t="shared" si="20"/>
        <v xml:space="preserve">  </v>
      </c>
      <c r="AP48" s="1030"/>
      <c r="AQ48" s="1070"/>
      <c r="AR48" s="999">
        <f t="shared" si="21"/>
        <v>35</v>
      </c>
      <c r="AS48" s="999">
        <f t="shared" si="3"/>
        <v>0</v>
      </c>
      <c r="AT48" s="999"/>
      <c r="AU48" s="999">
        <f t="shared" si="4"/>
        <v>0</v>
      </c>
      <c r="AV48" s="999"/>
      <c r="AW48" s="1070">
        <f t="shared" si="5"/>
        <v>0</v>
      </c>
      <c r="AX48" s="999"/>
      <c r="AY48" s="1059">
        <f t="shared" si="6"/>
        <v>0</v>
      </c>
      <c r="AZ48" s="999"/>
      <c r="BA48" s="1016">
        <f t="shared" si="7"/>
        <v>0</v>
      </c>
      <c r="BB48" s="1016"/>
      <c r="BC48" s="999">
        <f t="shared" si="8"/>
        <v>0</v>
      </c>
      <c r="BE48" s="1003"/>
      <c r="BG48" s="1031">
        <f t="shared" si="26"/>
        <v>35</v>
      </c>
      <c r="BH48" s="1031"/>
      <c r="BI48" s="1016">
        <f t="shared" si="9"/>
        <v>0</v>
      </c>
      <c r="BJ48" s="1016"/>
      <c r="BK48" s="1016">
        <f t="shared" si="10"/>
        <v>0</v>
      </c>
      <c r="BN48" s="1006">
        <f t="shared" si="22"/>
        <v>35</v>
      </c>
      <c r="BO48" s="1070">
        <f t="shared" si="11"/>
        <v>0</v>
      </c>
      <c r="BP48" s="999">
        <f t="shared" si="0"/>
        <v>0</v>
      </c>
      <c r="BQ48" s="1070">
        <f t="shared" si="12"/>
        <v>0</v>
      </c>
      <c r="BR48" s="999">
        <f t="shared" si="13"/>
        <v>0</v>
      </c>
      <c r="BS48" s="1057">
        <f t="shared" si="1"/>
        <v>0</v>
      </c>
      <c r="BT48" s="999">
        <f t="shared" si="14"/>
        <v>0</v>
      </c>
      <c r="BU48" s="999"/>
      <c r="BV48" s="1006" t="str">
        <f t="shared" si="23"/>
        <v>*</v>
      </c>
      <c r="BW48" s="1006" t="str">
        <f t="shared" si="24"/>
        <v>*</v>
      </c>
      <c r="BX48" s="1015">
        <f t="shared" si="25"/>
        <v>0</v>
      </c>
      <c r="BZ48" s="999">
        <f t="shared" si="2"/>
        <v>0</v>
      </c>
      <c r="CA48" s="999" t="str">
        <f t="shared" si="15"/>
        <v/>
      </c>
    </row>
    <row r="49" spans="1:63" ht="10.8" thickTop="1" x14ac:dyDescent="0.2">
      <c r="A49" s="58" t="s">
        <v>413</v>
      </c>
      <c r="D49" s="1035">
        <f>'MH Underwriting'!P64</f>
        <v>0</v>
      </c>
      <c r="E49" s="295"/>
      <c r="F49" s="295"/>
      <c r="G49" s="295"/>
      <c r="H49" s="1036">
        <f>D49</f>
        <v>0</v>
      </c>
      <c r="J49" s="1042" t="s">
        <v>1025</v>
      </c>
      <c r="K49" s="1006"/>
      <c r="L49" s="1038">
        <f>'Project Costs &amp; Basis'!S120+'Project Costs &amp; Basis'!Q38120</f>
        <v>0</v>
      </c>
      <c r="N49" s="1038">
        <f>'Project Costs &amp; Basis'!Q120</f>
        <v>0</v>
      </c>
      <c r="P49" s="1038">
        <f>IF('Project Information'!$L$4="Yes",L49-N49,0)</f>
        <v>0</v>
      </c>
      <c r="R49" s="1038">
        <f t="shared" si="28"/>
        <v>0</v>
      </c>
      <c r="T49" s="1038">
        <f t="shared" si="30"/>
        <v>0</v>
      </c>
      <c r="V49" s="1038">
        <f t="shared" si="29"/>
        <v>0</v>
      </c>
      <c r="W49" s="1006"/>
      <c r="X49" s="1038">
        <f t="shared" si="31"/>
        <v>0</v>
      </c>
      <c r="Z49" s="1006"/>
      <c r="AA49" s="1093">
        <f>SUM(AA14:AA48)</f>
        <v>0</v>
      </c>
      <c r="AC49" s="1093">
        <f>SUM(AC14:AC48)</f>
        <v>0</v>
      </c>
      <c r="AE49" s="1094">
        <f>SUM(AE14:AE48)</f>
        <v>0</v>
      </c>
      <c r="AF49" s="1016"/>
      <c r="AG49" s="1016"/>
      <c r="AH49" s="1095"/>
      <c r="AI49" s="1096">
        <f>SUM(AI14:AI48)</f>
        <v>0</v>
      </c>
      <c r="AK49" s="1096">
        <f>SUM(AK14:AK48)</f>
        <v>0</v>
      </c>
      <c r="AN49" s="1030"/>
      <c r="AO49" s="1030"/>
      <c r="AQ49" s="1003"/>
      <c r="AS49" s="1093">
        <f>SUM(AS14:AS48)</f>
        <v>0</v>
      </c>
      <c r="AT49" s="999"/>
      <c r="AU49" s="1093">
        <f>SUM(AU14:AU48)</f>
        <v>0</v>
      </c>
      <c r="AV49" s="999"/>
      <c r="AW49" s="1097">
        <f>SUM(AW14:AW48)</f>
        <v>0</v>
      </c>
      <c r="AX49" s="1038"/>
      <c r="AY49" s="1098">
        <f>SUM(AY14:AY48)</f>
        <v>0</v>
      </c>
      <c r="AZ49" s="999"/>
      <c r="BA49" s="1093">
        <f>SUM(BA14:BA48)</f>
        <v>0</v>
      </c>
      <c r="BB49" s="1016"/>
      <c r="BC49" s="1093">
        <f>SUM(BC14:BC48)</f>
        <v>0</v>
      </c>
      <c r="BE49" s="1003"/>
      <c r="BG49" s="999"/>
      <c r="BH49" s="999"/>
      <c r="BI49" s="1099">
        <f>SUM(BI14:BI48)</f>
        <v>0</v>
      </c>
      <c r="BJ49" s="1016"/>
      <c r="BK49" s="1099">
        <f>SUM(BK14:BK48)</f>
        <v>0</v>
      </c>
    </row>
    <row r="50" spans="1:63" ht="10.8" thickBot="1" x14ac:dyDescent="0.25">
      <c r="A50" s="58"/>
      <c r="D50" s="1117">
        <v>0</v>
      </c>
      <c r="E50" s="295"/>
      <c r="F50" s="295"/>
      <c r="G50" s="295"/>
      <c r="H50" s="1117">
        <f t="shared" si="27"/>
        <v>0</v>
      </c>
      <c r="J50" s="1042" t="s">
        <v>1025</v>
      </c>
      <c r="K50" s="1006"/>
      <c r="L50" s="999">
        <v>0</v>
      </c>
      <c r="N50" s="999">
        <v>0</v>
      </c>
      <c r="P50" s="999">
        <f>IF('Project Information'!$L$4="Yes",L50-N50,0)</f>
        <v>0</v>
      </c>
      <c r="R50" s="1038">
        <f t="shared" si="28"/>
        <v>0</v>
      </c>
      <c r="T50" s="999">
        <f t="shared" si="30"/>
        <v>0</v>
      </c>
      <c r="V50" s="999">
        <f t="shared" si="29"/>
        <v>0</v>
      </c>
      <c r="W50" s="1006"/>
      <c r="X50" s="999">
        <f t="shared" si="31"/>
        <v>0</v>
      </c>
      <c r="Z50" s="1006"/>
      <c r="AA50" s="1100" t="str">
        <f>IF(AA49&lt;&gt;AG4,"ALERT","  ")</f>
        <v xml:space="preserve">  </v>
      </c>
      <c r="AC50" s="295"/>
      <c r="AD50" s="295"/>
      <c r="AH50" s="1101" t="str">
        <f>IF(AI49&lt;&gt;J1,"ALERT","  ")</f>
        <v xml:space="preserve">  </v>
      </c>
      <c r="AI50" s="1102"/>
      <c r="AQ50" s="1003"/>
      <c r="BA50" s="1103">
        <f>BA49+BC49</f>
        <v>0</v>
      </c>
      <c r="BB50" s="1104"/>
      <c r="BC50" s="1105"/>
      <c r="BE50" s="1003"/>
      <c r="BI50" s="1103">
        <f>BI49+BK49</f>
        <v>0</v>
      </c>
      <c r="BJ50" s="1104"/>
      <c r="BK50" s="1105"/>
    </row>
    <row r="51" spans="1:63" ht="10.8" thickBot="1" x14ac:dyDescent="0.25">
      <c r="D51" s="1118">
        <f>SUM(D6:D50)</f>
        <v>0</v>
      </c>
      <c r="E51" s="295"/>
      <c r="G51" s="295"/>
      <c r="H51" s="1118">
        <f>SUM(H6:H50)</f>
        <v>0</v>
      </c>
      <c r="J51" s="1006"/>
      <c r="K51" s="1006"/>
      <c r="L51" s="1118">
        <f>SUM(L6:L50)</f>
        <v>0</v>
      </c>
      <c r="N51" s="1118">
        <f>SUM(N6:N50)</f>
        <v>0</v>
      </c>
      <c r="P51" s="1118">
        <f>SUM(P6:P50)</f>
        <v>0</v>
      </c>
      <c r="R51" s="1118">
        <f>SUM(R6:R50)</f>
        <v>0</v>
      </c>
      <c r="T51" s="1118">
        <f>SUM(T6:T50)</f>
        <v>0</v>
      </c>
      <c r="V51" s="1118">
        <f>SUM(V6:V50)</f>
        <v>0</v>
      </c>
      <c r="X51" s="1118">
        <f>SUM(X19:X50)</f>
        <v>0</v>
      </c>
      <c r="AA51" s="295"/>
      <c r="AC51" s="295"/>
      <c r="AD51" s="295"/>
      <c r="AN51" s="1030"/>
      <c r="AO51" s="1030"/>
      <c r="BI51" s="295"/>
      <c r="BJ51" s="295"/>
    </row>
    <row r="52" spans="1:63" ht="10.8" thickBot="1" x14ac:dyDescent="0.25">
      <c r="J52" s="1031" t="s">
        <v>486</v>
      </c>
      <c r="L52" s="1106">
        <f>'Tax Credit Calculations'!Q21+'Tax Credit Calculations'!S21-SUM('Tax Credit Calculations'!Q12:'Tax Credit Calculations'!S19)</f>
        <v>0</v>
      </c>
      <c r="N52" s="1107">
        <f>'Tax Credit Calculations'!Q21-SUM('Tax Credit Calculations'!Q12:Q19)</f>
        <v>0</v>
      </c>
      <c r="P52" s="1107">
        <f>IF('Project Information'!$L$4="Yes",'Tax Credit Calculations'!S21-SUM('Tax Credit Calculations'!S12:S19),0)</f>
        <v>0</v>
      </c>
      <c r="R52" s="1107">
        <f>IF(P52=0,'Tax Credit Calculations'!S21-SUM('Tax Credit Calculations'!S12:S19),0)</f>
        <v>0</v>
      </c>
      <c r="T52" s="1107">
        <f>N52</f>
        <v>0</v>
      </c>
      <c r="V52" s="1107">
        <f>IF($T$2="y",R52*1.3,R52)</f>
        <v>0</v>
      </c>
      <c r="X52" s="1092">
        <f>IF($T$2="y",R52*1.3,R52)</f>
        <v>0</v>
      </c>
      <c r="AA52" s="295"/>
      <c r="AB52" s="295"/>
      <c r="AC52" s="295"/>
      <c r="AD52" s="295"/>
      <c r="BF52" s="1005" t="s">
        <v>1094</v>
      </c>
      <c r="BJ52" s="1018"/>
      <c r="BK52" s="1108">
        <f>IF(BK10&lt;BA50,BK10,BA50)</f>
        <v>0</v>
      </c>
    </row>
    <row r="53" spans="1:63" ht="10.8" thickTop="1" x14ac:dyDescent="0.2">
      <c r="L53" s="999">
        <f>SUM(L51:L52)</f>
        <v>0</v>
      </c>
      <c r="N53" s="999">
        <f>SUM(N51:N52)</f>
        <v>0</v>
      </c>
      <c r="P53" s="999">
        <f>SUM(P51:P52)</f>
        <v>0</v>
      </c>
      <c r="R53" s="999">
        <f>SUM(R51:R52)</f>
        <v>0</v>
      </c>
      <c r="T53" s="999">
        <f>SUM(T51:T52)</f>
        <v>0</v>
      </c>
      <c r="V53" s="999">
        <f>SUM(V51:V52)</f>
        <v>0</v>
      </c>
      <c r="X53" s="999">
        <f>SUM(X51:X52)</f>
        <v>0</v>
      </c>
      <c r="Y53" s="1030"/>
      <c r="AA53" s="295"/>
      <c r="AB53" s="295"/>
      <c r="AC53" s="295"/>
      <c r="AD53" s="295"/>
      <c r="AN53" s="1030"/>
      <c r="AO53" s="1030"/>
      <c r="BI53" s="295"/>
      <c r="BJ53" s="295"/>
    </row>
    <row r="54" spans="1:63" x14ac:dyDescent="0.2">
      <c r="M54" s="295"/>
      <c r="N54" s="1030"/>
      <c r="P54" s="1030"/>
      <c r="Q54" s="1030"/>
      <c r="R54" s="1030"/>
      <c r="S54" s="1030"/>
      <c r="T54" s="1030">
        <f>N4</f>
        <v>0.04</v>
      </c>
      <c r="U54" s="1030"/>
      <c r="V54" s="1030">
        <f>P4</f>
        <v>0</v>
      </c>
      <c r="W54" s="1030"/>
      <c r="X54" s="1030">
        <f>R4</f>
        <v>0.09</v>
      </c>
      <c r="AA54" s="295"/>
      <c r="AB54" s="295"/>
      <c r="AC54" s="295"/>
      <c r="AD54" s="295"/>
      <c r="BI54" s="295"/>
      <c r="BJ54" s="295"/>
    </row>
    <row r="55" spans="1:63" ht="10.8" thickBot="1" x14ac:dyDescent="0.25">
      <c r="F55" s="295"/>
      <c r="H55" s="1031"/>
      <c r="L55" s="1030"/>
      <c r="T55" s="999">
        <f>ROUND(T53*T54,0)</f>
        <v>0</v>
      </c>
      <c r="V55" s="999">
        <f>ROUND(V53*V54,0)</f>
        <v>0</v>
      </c>
      <c r="X55" s="999">
        <f>ROUND(X53*X54,0)</f>
        <v>0</v>
      </c>
      <c r="AA55" s="295"/>
      <c r="AB55" s="295"/>
      <c r="AC55" s="295"/>
      <c r="AD55" s="295"/>
      <c r="AN55" s="1030"/>
      <c r="AO55" s="1030"/>
    </row>
    <row r="56" spans="1:63" ht="10.8" thickBot="1" x14ac:dyDescent="0.25">
      <c r="B56" s="295"/>
      <c r="C56" s="295"/>
      <c r="E56" s="295"/>
      <c r="N56" s="1018"/>
      <c r="O56" s="1000"/>
      <c r="P56" s="1018"/>
      <c r="Q56" s="1018"/>
      <c r="R56" s="1018"/>
      <c r="T56" s="1109">
        <f>T55+X55+V55</f>
        <v>0</v>
      </c>
      <c r="U56" s="1110"/>
      <c r="V56" s="1111"/>
      <c r="W56" s="1111"/>
      <c r="X56" s="1112"/>
      <c r="AA56" s="295"/>
      <c r="AB56" s="295"/>
      <c r="AC56" s="295"/>
      <c r="AD56" s="295"/>
    </row>
    <row r="57" spans="1:63" x14ac:dyDescent="0.2">
      <c r="AA57" s="295"/>
      <c r="AB57" s="295"/>
      <c r="AC57" s="295"/>
      <c r="AD57" s="295"/>
      <c r="AN57" s="1030"/>
      <c r="AO57" s="1030"/>
    </row>
    <row r="58" spans="1:63" x14ac:dyDescent="0.2">
      <c r="AA58" s="295"/>
      <c r="AB58" s="295"/>
      <c r="AC58" s="295"/>
      <c r="AD58" s="295"/>
    </row>
    <row r="59" spans="1:63" x14ac:dyDescent="0.2">
      <c r="AA59" s="295"/>
      <c r="AB59" s="295"/>
      <c r="AC59" s="295"/>
      <c r="AD59" s="295"/>
    </row>
    <row r="60" spans="1:63" x14ac:dyDescent="0.2">
      <c r="AA60" s="295"/>
      <c r="AB60" s="295"/>
      <c r="AC60" s="295"/>
      <c r="AD60" s="295"/>
      <c r="AN60" s="1030"/>
      <c r="AO60" s="1030"/>
    </row>
    <row r="61" spans="1:63" x14ac:dyDescent="0.2">
      <c r="AA61" s="295"/>
      <c r="AB61" s="295"/>
      <c r="AC61" s="295"/>
      <c r="AD61" s="295"/>
    </row>
    <row r="62" spans="1:63" x14ac:dyDescent="0.2">
      <c r="AA62" s="295"/>
      <c r="AB62" s="295"/>
      <c r="AC62" s="295"/>
      <c r="AD62" s="295"/>
    </row>
    <row r="63" spans="1:63" x14ac:dyDescent="0.2">
      <c r="AA63" s="295"/>
      <c r="AB63" s="295"/>
      <c r="AC63" s="295"/>
      <c r="AD63" s="295"/>
    </row>
    <row r="64" spans="1:63" x14ac:dyDescent="0.2">
      <c r="AA64" s="295"/>
      <c r="AB64" s="295"/>
      <c r="AC64" s="295"/>
      <c r="AD64" s="295"/>
      <c r="AN64" s="1016"/>
      <c r="AO64" s="1016"/>
    </row>
    <row r="65" spans="27:41" x14ac:dyDescent="0.2">
      <c r="AA65" s="295"/>
      <c r="AB65" s="295"/>
      <c r="AC65" s="295"/>
      <c r="AD65" s="295"/>
      <c r="AN65" s="1016"/>
      <c r="AO65" s="1016"/>
    </row>
    <row r="66" spans="27:41" x14ac:dyDescent="0.2">
      <c r="AA66" s="295"/>
      <c r="AB66" s="295"/>
      <c r="AC66" s="295"/>
      <c r="AD66" s="295"/>
    </row>
    <row r="67" spans="27:41" x14ac:dyDescent="0.2">
      <c r="AA67" s="295"/>
      <c r="AB67" s="295"/>
      <c r="AC67" s="295"/>
      <c r="AD67" s="295"/>
    </row>
    <row r="68" spans="27:41" x14ac:dyDescent="0.2">
      <c r="AA68" s="295"/>
      <c r="AB68" s="295"/>
      <c r="AC68" s="295"/>
      <c r="AD68" s="295"/>
    </row>
    <row r="69" spans="27:41" x14ac:dyDescent="0.2">
      <c r="AA69" s="295"/>
      <c r="AB69" s="295"/>
      <c r="AC69" s="295"/>
      <c r="AD69" s="295"/>
    </row>
    <row r="70" spans="27:41" x14ac:dyDescent="0.2">
      <c r="AA70" s="295"/>
      <c r="AB70" s="295"/>
      <c r="AC70" s="295"/>
      <c r="AD70" s="295"/>
    </row>
  </sheetData>
  <pageMargins left="0.25" right="0.25" top="0.25" bottom="0.25" header="0.5" footer="0.1"/>
  <pageSetup paperSize="5" scale="90" orientation="landscape" r:id="rId1"/>
  <headerFooter alignWithMargins="0">
    <oddFooter>&amp;LReservation/Carryover # - 11/29/99</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9"/>
  <dimension ref="A1:W158"/>
  <sheetViews>
    <sheetView showGridLines="0" defaultGridColor="0" colorId="12" zoomScaleNormal="100" zoomScaleSheetLayoutView="110" workbookViewId="0">
      <selection activeCell="P14" sqref="P14"/>
    </sheetView>
  </sheetViews>
  <sheetFormatPr defaultColWidth="9.109375" defaultRowHeight="10.199999999999999" x14ac:dyDescent="0.2"/>
  <cols>
    <col min="1" max="11" width="9.6640625" style="57" customWidth="1"/>
    <col min="12" max="13" width="8.6640625" style="57" customWidth="1"/>
    <col min="14" max="16384" width="9.109375" style="57"/>
  </cols>
  <sheetData>
    <row r="1" spans="1:9" x14ac:dyDescent="0.2">
      <c r="A1" s="131" t="s">
        <v>500</v>
      </c>
      <c r="C1" s="60" t="str">
        <f>'MH Underwriting'!E1</f>
        <v>Project Name</v>
      </c>
    </row>
    <row r="2" spans="1:9" x14ac:dyDescent="0.2">
      <c r="A2" s="131" t="s">
        <v>499</v>
      </c>
      <c r="C2" s="60">
        <f>'MH Underwriting'!E2</f>
        <v>0</v>
      </c>
    </row>
    <row r="6" spans="1:9" x14ac:dyDescent="0.2">
      <c r="A6" s="84" t="s">
        <v>498</v>
      </c>
      <c r="B6" s="83"/>
      <c r="C6" s="130">
        <f>'MH Underwriting'!J1</f>
        <v>0</v>
      </c>
      <c r="D6" s="83"/>
      <c r="E6" s="129">
        <f>'Tax Credit Calculations'!Q37</f>
        <v>0.04</v>
      </c>
    </row>
    <row r="7" spans="1:9" x14ac:dyDescent="0.2">
      <c r="A7" s="65" t="s">
        <v>497</v>
      </c>
      <c r="C7" s="60"/>
      <c r="E7" s="128">
        <f>'Tax Credit Calculations'!S37</f>
        <v>0.09</v>
      </c>
    </row>
    <row r="8" spans="1:9" x14ac:dyDescent="0.2">
      <c r="A8" s="65" t="s">
        <v>496</v>
      </c>
      <c r="E8" s="127" t="str">
        <f>'Tax Credit Calculations'!D6</f>
        <v>No</v>
      </c>
    </row>
    <row r="9" spans="1:9" x14ac:dyDescent="0.2">
      <c r="A9" s="65" t="s">
        <v>495</v>
      </c>
      <c r="E9" s="943">
        <v>0.22</v>
      </c>
    </row>
    <row r="10" spans="1:9" x14ac:dyDescent="0.2">
      <c r="A10" s="65" t="s">
        <v>494</v>
      </c>
      <c r="E10" s="127" t="str">
        <f>IF('Project Information'!L4="Yes","Yes","No")</f>
        <v>No</v>
      </c>
    </row>
    <row r="11" spans="1:9" x14ac:dyDescent="0.2">
      <c r="A11" s="63" t="s">
        <v>492</v>
      </c>
      <c r="B11" s="62"/>
      <c r="C11" s="62"/>
      <c r="D11" s="62"/>
      <c r="E11" s="125" t="str">
        <f>IF('Tax Credit Calculations'!S27=130%,"Yes","No")</f>
        <v>Yes</v>
      </c>
      <c r="G11" s="124" t="s">
        <v>490</v>
      </c>
      <c r="H11" s="123"/>
      <c r="I11" s="126">
        <f>IF(E10="No",30000,"N/A")</f>
        <v>30000</v>
      </c>
    </row>
    <row r="12" spans="1:9" x14ac:dyDescent="0.2">
      <c r="G12" s="124" t="s">
        <v>298</v>
      </c>
      <c r="H12" s="123"/>
      <c r="I12" s="122">
        <f>SUMIFS('MH Underwriting'!F153:F177,'MH Underwriting'!E153:E177,"&lt;&gt;"&amp;"Mkt")</f>
        <v>0</v>
      </c>
    </row>
    <row r="15" spans="1:9" x14ac:dyDescent="0.2">
      <c r="A15" s="84"/>
      <c r="B15" s="83"/>
      <c r="C15" s="83"/>
      <c r="D15" s="83"/>
      <c r="E15" s="83" t="s">
        <v>489</v>
      </c>
      <c r="F15" s="83"/>
      <c r="G15" s="83"/>
      <c r="H15" s="83"/>
      <c r="I15" s="82"/>
    </row>
    <row r="16" spans="1:9" x14ac:dyDescent="0.2">
      <c r="A16" s="65"/>
      <c r="I16" s="64"/>
    </row>
    <row r="17" spans="1:16" x14ac:dyDescent="0.2">
      <c r="A17" s="63" t="s">
        <v>488</v>
      </c>
      <c r="B17" s="62"/>
      <c r="C17" s="62"/>
      <c r="D17" s="62"/>
      <c r="E17" s="76" t="s">
        <v>333</v>
      </c>
      <c r="F17" s="76" t="s">
        <v>487</v>
      </c>
      <c r="G17" s="76" t="s">
        <v>486</v>
      </c>
      <c r="H17" s="76" t="s">
        <v>485</v>
      </c>
      <c r="I17" s="75" t="s">
        <v>484</v>
      </c>
    </row>
    <row r="18" spans="1:16" x14ac:dyDescent="0.2">
      <c r="A18" s="65" t="s">
        <v>482</v>
      </c>
      <c r="E18" s="67">
        <f>K107</f>
        <v>0</v>
      </c>
      <c r="F18" s="99">
        <f>F23</f>
        <v>0</v>
      </c>
      <c r="G18" s="71">
        <v>1</v>
      </c>
      <c r="H18" s="121">
        <f>E6</f>
        <v>0.04</v>
      </c>
      <c r="I18" s="66">
        <f>E18*F18*G18*H18</f>
        <v>0</v>
      </c>
    </row>
    <row r="19" spans="1:16" x14ac:dyDescent="0.2">
      <c r="A19" s="65" t="s">
        <v>348</v>
      </c>
      <c r="E19" s="67">
        <f>J60-'MH Underwriting'!V9</f>
        <v>0</v>
      </c>
      <c r="F19" s="99">
        <f>F23</f>
        <v>0</v>
      </c>
      <c r="G19" s="71">
        <f>IF(OR(E11="no",E11="n"),G18,1.3)</f>
        <v>1.3</v>
      </c>
      <c r="H19" s="121">
        <f>IF(OR(E10="yes",E10="y"),E6,E7)</f>
        <v>0.09</v>
      </c>
      <c r="I19" s="66">
        <f>E19*F19*G19*H19</f>
        <v>0</v>
      </c>
    </row>
    <row r="20" spans="1:16" x14ac:dyDescent="0.2">
      <c r="A20" s="65" t="s">
        <v>481</v>
      </c>
      <c r="E20" s="67">
        <f>J71+J78+J87+J105-J101-J102-J103</f>
        <v>0</v>
      </c>
      <c r="F20" s="99">
        <f>F23</f>
        <v>0</v>
      </c>
      <c r="G20" s="71">
        <f>G19</f>
        <v>1.3</v>
      </c>
      <c r="H20" s="121">
        <f>H19</f>
        <v>0.09</v>
      </c>
      <c r="I20" s="66">
        <f>E20*F20*G20*H20</f>
        <v>0</v>
      </c>
      <c r="N20" s="57" t="s">
        <v>677</v>
      </c>
      <c r="P20" s="95">
        <f>I23</f>
        <v>0</v>
      </c>
    </row>
    <row r="21" spans="1:16" x14ac:dyDescent="0.2">
      <c r="A21" s="65" t="s">
        <v>480</v>
      </c>
      <c r="E21" s="67">
        <f>J101+J102+J103</f>
        <v>0</v>
      </c>
      <c r="F21" s="99">
        <f>F23</f>
        <v>0</v>
      </c>
      <c r="G21" s="71">
        <f>G20</f>
        <v>1.3</v>
      </c>
      <c r="H21" s="121">
        <f>H20</f>
        <v>0.09</v>
      </c>
      <c r="I21" s="66">
        <f>E21*F21*G21*H21</f>
        <v>0</v>
      </c>
      <c r="N21" s="57" t="s">
        <v>678</v>
      </c>
      <c r="P21" s="95">
        <f>IF(E10="Yes","",I11*I12)</f>
        <v>0</v>
      </c>
    </row>
    <row r="22" spans="1:16" x14ac:dyDescent="0.2">
      <c r="A22" s="65"/>
      <c r="E22" s="67"/>
      <c r="F22" s="99"/>
      <c r="G22" s="67"/>
      <c r="I22" s="66"/>
      <c r="N22" s="57" t="s">
        <v>679</v>
      </c>
      <c r="P22" s="95">
        <f>IF(E10="Yes","",1200000)</f>
        <v>1200000</v>
      </c>
    </row>
    <row r="23" spans="1:16" x14ac:dyDescent="0.2">
      <c r="A23" s="63" t="s">
        <v>479</v>
      </c>
      <c r="B23" s="62"/>
      <c r="C23" s="62"/>
      <c r="D23" s="62"/>
      <c r="E23" s="105">
        <f>SUM(E18:E21)</f>
        <v>0</v>
      </c>
      <c r="F23" s="120">
        <f>ROUND(IF('MH Underwriting'!F180=0,0,SUMIFS('MH Underwriting'!F153:F177,'MH Underwriting'!E153:E177,"&lt;&gt;"&amp;"Mkt")/'MH Underwriting'!F180),4)</f>
        <v>0</v>
      </c>
      <c r="G23" s="105"/>
      <c r="H23" s="62"/>
      <c r="I23" s="104">
        <f>ROUND(SUM(I18:I21),)</f>
        <v>0</v>
      </c>
      <c r="N23" s="57" t="s">
        <v>680</v>
      </c>
      <c r="P23" s="95">
        <f>'Tax Credit Calculations'!Q40+'Tax Credit Calculations'!S40</f>
        <v>0</v>
      </c>
    </row>
    <row r="24" spans="1:16" x14ac:dyDescent="0.2">
      <c r="A24" s="84"/>
      <c r="B24" s="83"/>
      <c r="C24" s="83"/>
      <c r="D24" s="83"/>
      <c r="E24" s="83"/>
      <c r="F24" s="83"/>
      <c r="G24" s="83"/>
      <c r="H24" s="83"/>
      <c r="I24" s="82"/>
    </row>
    <row r="25" spans="1:16" x14ac:dyDescent="0.2">
      <c r="A25" s="63"/>
      <c r="B25" s="119" t="s">
        <v>478</v>
      </c>
      <c r="C25" s="62"/>
      <c r="D25" s="62"/>
      <c r="E25" s="62"/>
      <c r="F25" s="62"/>
      <c r="G25" s="62"/>
      <c r="H25" s="62"/>
      <c r="I25" s="118">
        <f>MIN(P20:P23)</f>
        <v>0</v>
      </c>
    </row>
    <row r="28" spans="1:16" x14ac:dyDescent="0.2">
      <c r="J28" s="109"/>
      <c r="K28" s="109"/>
    </row>
    <row r="29" spans="1:16" x14ac:dyDescent="0.2">
      <c r="G29" s="1791" t="s">
        <v>477</v>
      </c>
      <c r="H29" s="1791"/>
      <c r="I29" s="1791"/>
      <c r="J29" s="1791"/>
      <c r="K29" s="1791"/>
      <c r="L29" s="1791"/>
    </row>
    <row r="30" spans="1:16" x14ac:dyDescent="0.2">
      <c r="A30" s="1788" t="s">
        <v>476</v>
      </c>
      <c r="B30" s="1789"/>
      <c r="C30" s="1789"/>
      <c r="D30" s="1789"/>
      <c r="E30" s="1790"/>
    </row>
    <row r="31" spans="1:16" x14ac:dyDescent="0.2">
      <c r="A31" s="117" t="s">
        <v>475</v>
      </c>
      <c r="B31" s="116"/>
      <c r="C31" s="116"/>
      <c r="D31" s="115" t="s">
        <v>474</v>
      </c>
      <c r="E31" s="114" t="s">
        <v>41</v>
      </c>
      <c r="H31" s="1791" t="s">
        <v>473</v>
      </c>
      <c r="I31" s="1791"/>
      <c r="J31" s="60"/>
      <c r="L31" s="109" t="s">
        <v>472</v>
      </c>
    </row>
    <row r="32" spans="1:16" x14ac:dyDescent="0.2">
      <c r="A32" s="74"/>
      <c r="B32" s="113"/>
      <c r="C32" s="113"/>
      <c r="D32" s="112"/>
      <c r="E32" s="111"/>
      <c r="G32" s="109" t="s">
        <v>471</v>
      </c>
      <c r="H32" s="1791" t="s">
        <v>470</v>
      </c>
      <c r="I32" s="1791"/>
      <c r="J32" s="1791" t="s">
        <v>333</v>
      </c>
      <c r="K32" s="1791"/>
      <c r="L32" s="109" t="s">
        <v>3</v>
      </c>
    </row>
    <row r="33" spans="1:12" x14ac:dyDescent="0.2">
      <c r="A33" s="73">
        <f ca="1">'MH Underwriting'!G73</f>
        <v>46203</v>
      </c>
      <c r="B33" s="67"/>
      <c r="C33" s="67"/>
      <c r="D33" s="67">
        <f>'MH Underwriting'!G78+'MH Underwriting'!I78</f>
        <v>0</v>
      </c>
      <c r="E33" s="66" t="s">
        <v>41</v>
      </c>
      <c r="J33" s="60"/>
    </row>
    <row r="34" spans="1:12" x14ac:dyDescent="0.2">
      <c r="A34" s="73">
        <f t="shared" ref="A34:A40" ca="1" si="0">A33+365</f>
        <v>46568</v>
      </c>
      <c r="B34" s="67"/>
      <c r="C34" s="67"/>
      <c r="D34" s="67">
        <f>SUM('MH Underwriting'!J78:L78)+'MH Underwriting'!P78+'MH Underwriting'!R78</f>
        <v>0</v>
      </c>
      <c r="E34" s="66" t="s">
        <v>41</v>
      </c>
      <c r="G34" s="109">
        <v>1</v>
      </c>
      <c r="H34" s="1793" t="s">
        <v>358</v>
      </c>
      <c r="I34" s="1793"/>
      <c r="J34" s="1792">
        <f>'MH Underwriting'!G78</f>
        <v>0</v>
      </c>
      <c r="K34" s="1792"/>
      <c r="L34" s="110">
        <f ca="1">'MH Underwriting'!G73</f>
        <v>46203</v>
      </c>
    </row>
    <row r="35" spans="1:12" x14ac:dyDescent="0.2">
      <c r="A35" s="73">
        <f t="shared" ca="1" si="0"/>
        <v>46933</v>
      </c>
      <c r="B35" s="67"/>
      <c r="C35" s="67"/>
      <c r="D35" s="67">
        <f>'MH Underwriting'!S78</f>
        <v>0</v>
      </c>
      <c r="E35" s="66" t="s">
        <v>41</v>
      </c>
      <c r="H35" s="1793"/>
      <c r="I35" s="1793"/>
    </row>
    <row r="36" spans="1:12" ht="11.25" customHeight="1" x14ac:dyDescent="0.2">
      <c r="A36" s="73">
        <f t="shared" ca="1" si="0"/>
        <v>47298</v>
      </c>
      <c r="B36" s="67"/>
      <c r="C36" s="67"/>
      <c r="D36" s="67">
        <v>0</v>
      </c>
      <c r="E36" s="66" t="s">
        <v>41</v>
      </c>
      <c r="G36" s="109">
        <v>2</v>
      </c>
      <c r="H36" s="1794" t="s">
        <v>469</v>
      </c>
      <c r="I36" s="1794"/>
      <c r="J36" s="1792">
        <f>'MH Underwriting'!J78</f>
        <v>0</v>
      </c>
      <c r="K36" s="1792"/>
      <c r="L36" s="108">
        <f ca="1">L34+180</f>
        <v>46383</v>
      </c>
    </row>
    <row r="37" spans="1:12" x14ac:dyDescent="0.2">
      <c r="A37" s="73">
        <f t="shared" ca="1" si="0"/>
        <v>47663</v>
      </c>
      <c r="B37" s="67"/>
      <c r="C37" s="67"/>
      <c r="D37" s="67">
        <v>0</v>
      </c>
      <c r="E37" s="66" t="s">
        <v>41</v>
      </c>
      <c r="H37" s="1794"/>
      <c r="I37" s="1794"/>
    </row>
    <row r="38" spans="1:12" x14ac:dyDescent="0.2">
      <c r="A38" s="73">
        <f t="shared" ca="1" si="0"/>
        <v>48028</v>
      </c>
      <c r="B38" s="67"/>
      <c r="C38" s="67"/>
      <c r="D38" s="67">
        <v>0</v>
      </c>
      <c r="E38" s="66" t="s">
        <v>41</v>
      </c>
      <c r="G38" s="109">
        <v>3</v>
      </c>
      <c r="H38" s="1793" t="s">
        <v>356</v>
      </c>
      <c r="I38" s="1793"/>
      <c r="J38" s="1792">
        <f>'MH Underwriting'!P78</f>
        <v>0</v>
      </c>
      <c r="K38" s="1792"/>
      <c r="L38" s="110" t="str">
        <f>'MH Underwriting'!P74</f>
        <v>PLC</v>
      </c>
    </row>
    <row r="39" spans="1:12" x14ac:dyDescent="0.2">
      <c r="A39" s="73">
        <f t="shared" ca="1" si="0"/>
        <v>48393</v>
      </c>
      <c r="B39" s="67"/>
      <c r="C39" s="67"/>
      <c r="D39" s="67">
        <v>0</v>
      </c>
      <c r="E39" s="66"/>
      <c r="H39" s="1793"/>
      <c r="I39" s="1793"/>
    </row>
    <row r="40" spans="1:12" ht="11.25" customHeight="1" x14ac:dyDescent="0.2">
      <c r="A40" s="73">
        <f t="shared" ca="1" si="0"/>
        <v>48758</v>
      </c>
      <c r="B40" s="67"/>
      <c r="C40" s="67"/>
      <c r="D40" s="67">
        <v>0</v>
      </c>
      <c r="E40" s="66" t="s">
        <v>468</v>
      </c>
      <c r="G40" s="109">
        <v>4</v>
      </c>
      <c r="H40" s="1793" t="s">
        <v>467</v>
      </c>
      <c r="I40" s="1793"/>
      <c r="J40" s="1792">
        <f>'MH Underwriting'!R78</f>
        <v>0</v>
      </c>
      <c r="K40" s="1792"/>
      <c r="L40" s="108" t="str">
        <f>'MH Underwriting'!R74</f>
        <v>Milestone</v>
      </c>
    </row>
    <row r="41" spans="1:12" x14ac:dyDescent="0.2">
      <c r="A41" s="65" t="s">
        <v>466</v>
      </c>
      <c r="B41" s="67"/>
      <c r="C41" s="67"/>
      <c r="D41" s="67">
        <f>SUM(D33:D40)</f>
        <v>0</v>
      </c>
      <c r="E41" s="66" t="s">
        <v>41</v>
      </c>
      <c r="H41" s="1793"/>
      <c r="I41" s="1793"/>
    </row>
    <row r="42" spans="1:12" ht="11.25" customHeight="1" x14ac:dyDescent="0.2">
      <c r="A42" s="65" t="s">
        <v>465</v>
      </c>
      <c r="B42" s="67"/>
      <c r="C42" s="67"/>
      <c r="D42" s="67">
        <f>NPV(0.07,D33:D40)</f>
        <v>0</v>
      </c>
      <c r="E42" s="66" t="s">
        <v>41</v>
      </c>
      <c r="G42" s="109">
        <v>5</v>
      </c>
      <c r="H42" s="1793" t="s">
        <v>464</v>
      </c>
      <c r="I42" s="1793"/>
      <c r="J42" s="1792">
        <f>'MH Underwriting'!S78</f>
        <v>0</v>
      </c>
      <c r="K42" s="1792"/>
      <c r="L42" s="108" t="str">
        <f>'MH Underwriting'!S74</f>
        <v>Payment</v>
      </c>
    </row>
    <row r="43" spans="1:12" x14ac:dyDescent="0.2">
      <c r="A43" s="65" t="s">
        <v>463</v>
      </c>
      <c r="B43" s="67"/>
      <c r="C43" s="67"/>
      <c r="D43" s="67">
        <f>I23*10</f>
        <v>0</v>
      </c>
      <c r="E43" s="66" t="s">
        <v>41</v>
      </c>
      <c r="H43" s="1793"/>
      <c r="I43" s="1793"/>
    </row>
    <row r="44" spans="1:12" x14ac:dyDescent="0.2">
      <c r="A44" s="65" t="s">
        <v>462</v>
      </c>
      <c r="B44" s="67"/>
      <c r="C44" s="67"/>
      <c r="D44" s="107">
        <f>IF(D43=0,0,D42/D43)</f>
        <v>0</v>
      </c>
      <c r="E44" s="106" t="s">
        <v>41</v>
      </c>
    </row>
    <row r="45" spans="1:12" x14ac:dyDescent="0.2">
      <c r="A45" s="63"/>
      <c r="B45" s="105"/>
      <c r="C45" s="105"/>
      <c r="D45" s="105"/>
      <c r="E45" s="104"/>
    </row>
    <row r="51" spans="1:14" x14ac:dyDescent="0.2">
      <c r="A51" s="84" t="s">
        <v>41</v>
      </c>
      <c r="B51" s="83"/>
      <c r="C51" s="83"/>
      <c r="D51" s="83" t="s">
        <v>41</v>
      </c>
      <c r="E51" s="83"/>
      <c r="F51" s="83"/>
      <c r="G51" s="83"/>
      <c r="H51" s="83"/>
      <c r="I51" s="83"/>
      <c r="J51" s="103" t="s">
        <v>461</v>
      </c>
      <c r="K51" s="102"/>
    </row>
    <row r="52" spans="1:14" x14ac:dyDescent="0.2">
      <c r="A52" s="63" t="s">
        <v>460</v>
      </c>
      <c r="D52" s="76" t="s">
        <v>563</v>
      </c>
      <c r="F52" s="76" t="s">
        <v>104</v>
      </c>
      <c r="G52" s="76" t="s">
        <v>105</v>
      </c>
      <c r="H52" s="76" t="s">
        <v>459</v>
      </c>
      <c r="J52" s="101" t="s">
        <v>458</v>
      </c>
      <c r="K52" s="100" t="s">
        <v>457</v>
      </c>
    </row>
    <row r="53" spans="1:14" x14ac:dyDescent="0.2">
      <c r="A53" s="65"/>
      <c r="K53" s="64"/>
    </row>
    <row r="54" spans="1:14" x14ac:dyDescent="0.2">
      <c r="A54" s="58" t="s">
        <v>456</v>
      </c>
      <c r="D54" s="67">
        <f>'MH Underwriting'!H15</f>
        <v>0</v>
      </c>
      <c r="E54" s="67"/>
      <c r="F54" s="67">
        <f>D54</f>
        <v>0</v>
      </c>
      <c r="G54" s="67"/>
      <c r="H54" s="67"/>
      <c r="I54" s="67"/>
      <c r="J54" s="67">
        <f t="shared" ref="J54:J59" si="1">F54-K54</f>
        <v>0</v>
      </c>
      <c r="K54" s="66">
        <v>0</v>
      </c>
    </row>
    <row r="55" spans="1:14" x14ac:dyDescent="0.2">
      <c r="A55" s="58" t="s">
        <v>455</v>
      </c>
      <c r="D55" s="67">
        <f>'MH Underwriting'!H16</f>
        <v>0</v>
      </c>
      <c r="E55" s="67"/>
      <c r="F55" s="67">
        <f>D55-G55-H55</f>
        <v>0</v>
      </c>
      <c r="G55" s="67">
        <f>'Project Costs &amp; Basis'!L9</f>
        <v>0</v>
      </c>
      <c r="H55" s="67">
        <f>'Project Costs &amp; Basis'!N9</f>
        <v>0</v>
      </c>
      <c r="I55" s="67"/>
      <c r="J55" s="67">
        <f t="shared" si="1"/>
        <v>0</v>
      </c>
      <c r="K55" s="66">
        <v>0</v>
      </c>
    </row>
    <row r="56" spans="1:14" x14ac:dyDescent="0.2">
      <c r="A56" s="58" t="s">
        <v>454</v>
      </c>
      <c r="D56" s="67">
        <f>'MH Underwriting'!H17</f>
        <v>0</v>
      </c>
      <c r="E56" s="67"/>
      <c r="F56" s="67">
        <f>D56</f>
        <v>0</v>
      </c>
      <c r="G56" s="67"/>
      <c r="H56" s="67"/>
      <c r="I56" s="67"/>
      <c r="J56" s="67">
        <f t="shared" si="1"/>
        <v>0</v>
      </c>
      <c r="K56" s="66">
        <v>0</v>
      </c>
    </row>
    <row r="57" spans="1:14" x14ac:dyDescent="0.2">
      <c r="A57" s="58" t="s">
        <v>453</v>
      </c>
      <c r="D57" s="67">
        <f>'MH Underwriting'!H18</f>
        <v>0</v>
      </c>
      <c r="E57" s="67"/>
      <c r="F57" s="67">
        <f>D57</f>
        <v>0</v>
      </c>
      <c r="G57" s="67"/>
      <c r="H57" s="67"/>
      <c r="I57" s="67"/>
      <c r="J57" s="67">
        <f t="shared" si="1"/>
        <v>0</v>
      </c>
      <c r="K57" s="66">
        <v>0</v>
      </c>
    </row>
    <row r="58" spans="1:14" x14ac:dyDescent="0.2">
      <c r="A58" s="58" t="s">
        <v>452</v>
      </c>
      <c r="D58" s="67">
        <f>'MH Underwriting'!H19</f>
        <v>0</v>
      </c>
      <c r="E58" s="67"/>
      <c r="F58" s="67">
        <f>D58</f>
        <v>0</v>
      </c>
      <c r="G58" s="67"/>
      <c r="H58" s="67"/>
      <c r="I58" s="67"/>
      <c r="J58" s="67">
        <f t="shared" si="1"/>
        <v>0</v>
      </c>
      <c r="K58" s="66">
        <v>0</v>
      </c>
    </row>
    <row r="59" spans="1:14" x14ac:dyDescent="0.2">
      <c r="A59" s="58" t="s">
        <v>451</v>
      </c>
      <c r="C59" s="954">
        <f>IF(D55=0,0,D59/SUM(D54:D58))</f>
        <v>0</v>
      </c>
      <c r="D59" s="290">
        <f>'MH Underwriting'!H20</f>
        <v>0</v>
      </c>
      <c r="E59" s="67"/>
      <c r="F59" s="290">
        <f>D59</f>
        <v>0</v>
      </c>
      <c r="G59" s="290"/>
      <c r="H59" s="290"/>
      <c r="I59" s="67"/>
      <c r="J59" s="290">
        <f t="shared" si="1"/>
        <v>0</v>
      </c>
      <c r="K59" s="291">
        <v>0</v>
      </c>
      <c r="M59" s="97"/>
    </row>
    <row r="60" spans="1:14" x14ac:dyDescent="0.2">
      <c r="A60" s="59" t="s">
        <v>450</v>
      </c>
      <c r="B60" s="60"/>
      <c r="C60" s="60"/>
      <c r="D60" s="292">
        <f>SUM(D54:D59)</f>
        <v>0</v>
      </c>
      <c r="E60" s="292"/>
      <c r="F60" s="292">
        <f>SUM(F54:F59)</f>
        <v>0</v>
      </c>
      <c r="G60" s="292">
        <f>SUM(G54:G59)</f>
        <v>0</v>
      </c>
      <c r="H60" s="292">
        <f>SUM(H54:H59)</f>
        <v>0</v>
      </c>
      <c r="I60" s="292"/>
      <c r="J60" s="292">
        <f>SUM(J54:J59)</f>
        <v>0</v>
      </c>
      <c r="K60" s="293">
        <f>SUM(K54:K59)</f>
        <v>0</v>
      </c>
      <c r="M60" s="97">
        <f>SUM(D54:D58)*N60</f>
        <v>0</v>
      </c>
      <c r="N60" s="99">
        <v>0.05</v>
      </c>
    </row>
    <row r="61" spans="1:14" s="60" customFormat="1" x14ac:dyDescent="0.2">
      <c r="A61" s="58"/>
      <c r="B61" s="57"/>
      <c r="C61" s="57"/>
      <c r="D61" s="67"/>
      <c r="E61" s="67"/>
      <c r="F61" s="67"/>
      <c r="G61" s="67"/>
      <c r="H61" s="67"/>
      <c r="I61" s="67"/>
      <c r="J61" s="67"/>
      <c r="K61" s="66"/>
      <c r="M61" s="98"/>
    </row>
    <row r="62" spans="1:14" x14ac:dyDescent="0.2">
      <c r="A62" s="58" t="s">
        <v>449</v>
      </c>
      <c r="D62" s="67">
        <f>'MH Underwriting'!H23</f>
        <v>0</v>
      </c>
      <c r="E62" s="67"/>
      <c r="F62" s="67">
        <f>'Project Costs &amp; Basis'!H13</f>
        <v>0</v>
      </c>
      <c r="G62" s="67">
        <f>'Project Costs &amp; Basis'!L13</f>
        <v>0</v>
      </c>
      <c r="H62" s="67">
        <f>'Project Costs &amp; Basis'!N13</f>
        <v>0</v>
      </c>
      <c r="I62" s="67"/>
      <c r="J62" s="67">
        <f>'Project Costs &amp; Basis'!S13</f>
        <v>0</v>
      </c>
      <c r="K62" s="66">
        <f>'Project Costs &amp; Basis'!Q13</f>
        <v>0</v>
      </c>
    </row>
    <row r="63" spans="1:14" x14ac:dyDescent="0.2">
      <c r="A63" s="58" t="s">
        <v>448</v>
      </c>
      <c r="D63" s="67">
        <f>'MH Underwriting'!H24</f>
        <v>0</v>
      </c>
      <c r="E63" s="67"/>
      <c r="F63" s="67">
        <f>'Project Costs &amp; Basis'!H15</f>
        <v>0</v>
      </c>
      <c r="G63" s="67">
        <f>'Project Costs &amp; Basis'!L15</f>
        <v>0</v>
      </c>
      <c r="H63" s="67">
        <f>'Project Costs &amp; Basis'!N15</f>
        <v>0</v>
      </c>
      <c r="I63" s="67"/>
      <c r="J63" s="67">
        <f>'Project Costs &amp; Basis'!S15</f>
        <v>0</v>
      </c>
      <c r="K63" s="66">
        <f>'Project Costs &amp; Basis'!Q15</f>
        <v>0</v>
      </c>
    </row>
    <row r="64" spans="1:14" x14ac:dyDescent="0.2">
      <c r="A64" s="58" t="s">
        <v>447</v>
      </c>
      <c r="D64" s="67">
        <f>'MH Underwriting'!H25</f>
        <v>0</v>
      </c>
      <c r="E64" s="67"/>
      <c r="F64" s="67">
        <f>'Project Costs &amp; Basis'!H17</f>
        <v>0</v>
      </c>
      <c r="G64" s="67">
        <f>'Project Costs &amp; Basis'!L17</f>
        <v>0</v>
      </c>
      <c r="H64" s="67">
        <f>'Project Costs &amp; Basis'!N17</f>
        <v>0</v>
      </c>
      <c r="I64" s="67"/>
      <c r="J64" s="67">
        <f>'Project Costs &amp; Basis'!S17</f>
        <v>0</v>
      </c>
      <c r="K64" s="66">
        <f>'Project Costs &amp; Basis'!Q17</f>
        <v>0</v>
      </c>
    </row>
    <row r="65" spans="1:23" x14ac:dyDescent="0.2">
      <c r="A65" s="58" t="s">
        <v>446</v>
      </c>
      <c r="D65" s="67">
        <f>'MH Underwriting'!H26</f>
        <v>0</v>
      </c>
      <c r="E65" s="67"/>
      <c r="F65" s="67">
        <f>'Project Costs &amp; Basis'!H19</f>
        <v>0</v>
      </c>
      <c r="G65" s="67">
        <f>'Project Costs &amp; Basis'!L19</f>
        <v>0</v>
      </c>
      <c r="H65" s="67">
        <f>'Project Costs &amp; Basis'!N19</f>
        <v>0</v>
      </c>
      <c r="I65" s="67"/>
      <c r="J65" s="67">
        <f>'Project Costs &amp; Basis'!S19</f>
        <v>0</v>
      </c>
      <c r="K65" s="66">
        <f>'Project Costs &amp; Basis'!Q19</f>
        <v>0</v>
      </c>
    </row>
    <row r="66" spans="1:23" x14ac:dyDescent="0.2">
      <c r="A66" s="58" t="s">
        <v>445</v>
      </c>
      <c r="D66" s="67">
        <f>'MH Underwriting'!H27</f>
        <v>0</v>
      </c>
      <c r="E66" s="67"/>
      <c r="F66" s="67">
        <f>'Project Costs &amp; Basis'!H21</f>
        <v>0</v>
      </c>
      <c r="G66" s="67">
        <f>'Project Costs &amp; Basis'!L21</f>
        <v>0</v>
      </c>
      <c r="H66" s="67">
        <f>'Project Costs &amp; Basis'!N21</f>
        <v>0</v>
      </c>
      <c r="I66" s="67"/>
      <c r="J66" s="67">
        <f>'Project Costs &amp; Basis'!S21</f>
        <v>0</v>
      </c>
      <c r="K66" s="66">
        <f>'Project Costs &amp; Basis'!Q21</f>
        <v>0</v>
      </c>
    </row>
    <row r="67" spans="1:23" x14ac:dyDescent="0.2">
      <c r="A67" s="58" t="s">
        <v>444</v>
      </c>
      <c r="D67" s="67">
        <f>'MH Underwriting'!H28</f>
        <v>0</v>
      </c>
      <c r="E67" s="67"/>
      <c r="F67" s="67">
        <f>'Project Costs &amp; Basis'!H23</f>
        <v>0</v>
      </c>
      <c r="G67" s="67">
        <f>'Project Costs &amp; Basis'!L23</f>
        <v>0</v>
      </c>
      <c r="H67" s="67">
        <f>'Project Costs &amp; Basis'!N23</f>
        <v>0</v>
      </c>
      <c r="I67" s="67"/>
      <c r="J67" s="67">
        <f>'Project Costs &amp; Basis'!S23</f>
        <v>0</v>
      </c>
      <c r="K67" s="66">
        <f>'Project Costs &amp; Basis'!Q23</f>
        <v>0</v>
      </c>
    </row>
    <row r="68" spans="1:23" x14ac:dyDescent="0.2">
      <c r="A68" s="58" t="s">
        <v>443</v>
      </c>
      <c r="D68" s="67">
        <f>'MH Underwriting'!H29</f>
        <v>0</v>
      </c>
      <c r="E68" s="67"/>
      <c r="F68" s="67">
        <f>'Project Costs &amp; Basis'!H25</f>
        <v>0</v>
      </c>
      <c r="G68" s="67">
        <f>'Project Costs &amp; Basis'!L25</f>
        <v>0</v>
      </c>
      <c r="H68" s="67">
        <f>'Project Costs &amp; Basis'!N25</f>
        <v>0</v>
      </c>
      <c r="I68" s="67"/>
      <c r="J68" s="67">
        <f>'Project Costs &amp; Basis'!S25</f>
        <v>0</v>
      </c>
      <c r="K68" s="66">
        <f>'Project Costs &amp; Basis'!Q25</f>
        <v>0</v>
      </c>
    </row>
    <row r="69" spans="1:23" x14ac:dyDescent="0.2">
      <c r="A69" s="58" t="s">
        <v>442</v>
      </c>
      <c r="D69" s="67">
        <f>'MH Underwriting'!H30</f>
        <v>0</v>
      </c>
      <c r="E69" s="67"/>
      <c r="F69" s="67">
        <f>'Project Costs &amp; Basis'!H27</f>
        <v>0</v>
      </c>
      <c r="G69" s="67">
        <f>'Project Costs &amp; Basis'!L27</f>
        <v>0</v>
      </c>
      <c r="H69" s="67">
        <f>'Project Costs &amp; Basis'!N27</f>
        <v>0</v>
      </c>
      <c r="I69" s="67"/>
      <c r="J69" s="67">
        <f>'Project Costs &amp; Basis'!S27</f>
        <v>0</v>
      </c>
      <c r="K69" s="66">
        <f>'Project Costs &amp; Basis'!Q27</f>
        <v>0</v>
      </c>
    </row>
    <row r="70" spans="1:23" x14ac:dyDescent="0.2">
      <c r="A70" s="58" t="s">
        <v>226</v>
      </c>
      <c r="D70" s="290">
        <f>'MH Underwriting'!H31</f>
        <v>0</v>
      </c>
      <c r="E70" s="67"/>
      <c r="F70" s="290">
        <f>'Project Costs &amp; Basis'!H29</f>
        <v>0</v>
      </c>
      <c r="G70" s="290">
        <f>'Project Costs &amp; Basis'!L29</f>
        <v>0</v>
      </c>
      <c r="H70" s="290">
        <f>'Project Costs &amp; Basis'!N29</f>
        <v>0</v>
      </c>
      <c r="I70" s="67"/>
      <c r="J70" s="290">
        <f>'Project Costs &amp; Basis'!S29</f>
        <v>0</v>
      </c>
      <c r="K70" s="291">
        <f>'Project Costs &amp; Basis'!Q29</f>
        <v>0</v>
      </c>
    </row>
    <row r="71" spans="1:23" x14ac:dyDescent="0.2">
      <c r="A71" s="59" t="s">
        <v>441</v>
      </c>
      <c r="B71" s="60"/>
      <c r="C71" s="60"/>
      <c r="D71" s="292">
        <f>SUM(D62:D70)</f>
        <v>0</v>
      </c>
      <c r="E71" s="292"/>
      <c r="F71" s="292">
        <f>SUM(F62:F70)</f>
        <v>0</v>
      </c>
      <c r="G71" s="292">
        <f>SUM(G62:G70)</f>
        <v>0</v>
      </c>
      <c r="H71" s="292">
        <f>SUM(H62:H70)</f>
        <v>0</v>
      </c>
      <c r="I71" s="292"/>
      <c r="J71" s="292">
        <f>SUM(J62:J70)</f>
        <v>0</v>
      </c>
      <c r="K71" s="293">
        <f>SUM(K62:K70)</f>
        <v>0</v>
      </c>
      <c r="M71" s="97"/>
    </row>
    <row r="72" spans="1:23" s="60" customFormat="1" x14ac:dyDescent="0.2">
      <c r="A72" s="58"/>
      <c r="B72" s="57"/>
      <c r="C72" s="57"/>
      <c r="D72" s="67"/>
      <c r="E72" s="67"/>
      <c r="F72" s="67"/>
      <c r="G72" s="67"/>
      <c r="H72" s="67"/>
      <c r="I72" s="67"/>
      <c r="J72" s="67"/>
      <c r="K72" s="66"/>
      <c r="M72" s="98"/>
      <c r="R72" s="57"/>
      <c r="S72" s="57"/>
      <c r="T72" s="57"/>
      <c r="U72" s="57"/>
      <c r="V72" s="57"/>
      <c r="W72" s="57"/>
    </row>
    <row r="73" spans="1:23" x14ac:dyDescent="0.2">
      <c r="A73" s="58" t="s">
        <v>440</v>
      </c>
      <c r="D73" s="67">
        <f>'MH Underwriting'!H34</f>
        <v>0</v>
      </c>
      <c r="E73" s="67"/>
      <c r="F73" s="67">
        <f>'Project Costs &amp; Basis'!H38</f>
        <v>0</v>
      </c>
      <c r="G73" s="67">
        <f>'Project Costs &amp; Basis'!L38</f>
        <v>0</v>
      </c>
      <c r="H73" s="67">
        <f>'Project Costs &amp; Basis'!N38</f>
        <v>0</v>
      </c>
      <c r="I73" s="67"/>
      <c r="J73" s="67">
        <f>'Project Costs &amp; Basis'!S38</f>
        <v>0</v>
      </c>
      <c r="K73" s="66">
        <f>'Project Costs &amp; Basis'!Q38</f>
        <v>0</v>
      </c>
    </row>
    <row r="74" spans="1:23" x14ac:dyDescent="0.2">
      <c r="A74" s="58" t="s">
        <v>439</v>
      </c>
      <c r="D74" s="67">
        <f>'MH Underwriting'!H35</f>
        <v>0</v>
      </c>
      <c r="E74" s="67"/>
      <c r="F74" s="67">
        <f>'Project Costs &amp; Basis'!H40</f>
        <v>0</v>
      </c>
      <c r="G74" s="67">
        <f>'Project Costs &amp; Basis'!L40</f>
        <v>0</v>
      </c>
      <c r="H74" s="67">
        <f>'Project Costs &amp; Basis'!N40</f>
        <v>0</v>
      </c>
      <c r="I74" s="67"/>
      <c r="J74" s="67">
        <f>'Project Costs &amp; Basis'!S40</f>
        <v>0</v>
      </c>
      <c r="K74" s="66">
        <f>'Project Costs &amp; Basis'!Q40</f>
        <v>0</v>
      </c>
      <c r="M74" s="97"/>
    </row>
    <row r="75" spans="1:23" x14ac:dyDescent="0.2">
      <c r="A75" s="58" t="str">
        <f>IF('Project Information'!L4="Yes","MaineHousing Loan Fees","MaineHousing Permanent Loan Fees")</f>
        <v>MaineHousing Permanent Loan Fees</v>
      </c>
      <c r="D75" s="67">
        <f>'MH Underwriting'!H36</f>
        <v>0</v>
      </c>
      <c r="E75" s="67"/>
      <c r="F75" s="67">
        <f>'Project Costs &amp; Basis'!H42</f>
        <v>0</v>
      </c>
      <c r="G75" s="67" t="str">
        <f>'Project Costs &amp; Basis'!L42</f>
        <v/>
      </c>
      <c r="H75" s="67">
        <f>'Project Costs &amp; Basis'!N42</f>
        <v>0</v>
      </c>
      <c r="I75" s="67"/>
      <c r="J75" s="67">
        <f>'Project Costs &amp; Basis'!S42</f>
        <v>0</v>
      </c>
      <c r="K75" s="66">
        <f>'Project Costs &amp; Basis'!Q42</f>
        <v>0</v>
      </c>
      <c r="M75" s="97"/>
      <c r="O75" s="57" t="s">
        <v>438</v>
      </c>
    </row>
    <row r="76" spans="1:23" x14ac:dyDescent="0.2">
      <c r="A76" s="58" t="s">
        <v>686</v>
      </c>
      <c r="D76" s="67">
        <f>'MH Underwriting'!H37</f>
        <v>0</v>
      </c>
      <c r="E76" s="67"/>
      <c r="F76" s="67">
        <f>'Project Costs &amp; Basis'!H44</f>
        <v>0</v>
      </c>
      <c r="G76" s="67">
        <f>'Project Costs &amp; Basis'!L44</f>
        <v>0</v>
      </c>
      <c r="H76" s="67">
        <f>'Project Costs &amp; Basis'!N44</f>
        <v>0</v>
      </c>
      <c r="I76" s="67"/>
      <c r="J76" s="67">
        <f>'Project Costs &amp; Basis'!S44</f>
        <v>0</v>
      </c>
      <c r="K76" s="66">
        <f>'Project Costs &amp; Basis'!Q44</f>
        <v>0</v>
      </c>
      <c r="M76" s="97" t="str">
        <f>IF('Project Information'!L4="Yes",3000+'MH Underwriting'!I129*0.02,"")</f>
        <v/>
      </c>
      <c r="N76" s="57" t="str">
        <f>IF(M76="","","PL")</f>
        <v/>
      </c>
      <c r="O76" s="57" t="s">
        <v>437</v>
      </c>
    </row>
    <row r="77" spans="1:23" x14ac:dyDescent="0.2">
      <c r="A77" s="58" t="s">
        <v>226</v>
      </c>
      <c r="D77" s="290">
        <f>'MH Underwriting'!H38</f>
        <v>0</v>
      </c>
      <c r="E77" s="67"/>
      <c r="F77" s="290">
        <f>'Project Costs &amp; Basis'!H46</f>
        <v>0</v>
      </c>
      <c r="G77" s="290">
        <f>'Project Costs &amp; Basis'!L46</f>
        <v>0</v>
      </c>
      <c r="H77" s="290">
        <f>'Project Costs &amp; Basis'!N46</f>
        <v>0</v>
      </c>
      <c r="I77" s="67"/>
      <c r="J77" s="290">
        <f>'Project Costs &amp; Basis'!S46</f>
        <v>0</v>
      </c>
      <c r="K77" s="291">
        <f>'Project Costs &amp; Basis'!Q46</f>
        <v>0</v>
      </c>
      <c r="M77" s="97" t="str">
        <f>IF('Project Information'!L4="Yes",3000+'MH Underwriting'!W83*0.02,"")</f>
        <v/>
      </c>
      <c r="N77" s="57" t="str">
        <f>IF(M77="","","CL")</f>
        <v/>
      </c>
      <c r="O77" s="57" t="s">
        <v>436</v>
      </c>
    </row>
    <row r="78" spans="1:23" s="60" customFormat="1" x14ac:dyDescent="0.2">
      <c r="A78" s="59" t="s">
        <v>435</v>
      </c>
      <c r="D78" s="292">
        <f>SUM(D73:D77)</f>
        <v>0</v>
      </c>
      <c r="E78" s="292"/>
      <c r="F78" s="292">
        <f>SUM(F73:F77)</f>
        <v>0</v>
      </c>
      <c r="G78" s="292">
        <f>SUM(G73:G77)</f>
        <v>0</v>
      </c>
      <c r="H78" s="292">
        <f>SUM(H73:H77)</f>
        <v>0</v>
      </c>
      <c r="I78" s="292"/>
      <c r="J78" s="292">
        <f>SUM(J73:J77)</f>
        <v>0</v>
      </c>
      <c r="K78" s="293">
        <f>SUM(K73:K77)</f>
        <v>0</v>
      </c>
      <c r="M78" s="98"/>
      <c r="R78" s="57"/>
      <c r="S78" s="57"/>
      <c r="T78" s="57"/>
      <c r="U78" s="57"/>
      <c r="V78" s="57"/>
      <c r="W78" s="57"/>
    </row>
    <row r="79" spans="1:23" x14ac:dyDescent="0.2">
      <c r="A79" s="59"/>
      <c r="D79" s="67"/>
      <c r="E79" s="67"/>
      <c r="F79" s="67"/>
      <c r="G79" s="67"/>
      <c r="H79" s="67"/>
      <c r="I79" s="67"/>
      <c r="J79" s="67"/>
      <c r="K79" s="66"/>
      <c r="M79" s="97"/>
    </row>
    <row r="80" spans="1:23" x14ac:dyDescent="0.2">
      <c r="A80" s="58" t="s">
        <v>434</v>
      </c>
      <c r="D80" s="67">
        <f>'MH Underwriting'!H41</f>
        <v>0</v>
      </c>
      <c r="E80" s="67"/>
      <c r="F80" s="67">
        <f>'Project Costs &amp; Basis'!H53</f>
        <v>0</v>
      </c>
      <c r="G80" s="67">
        <f>'Project Costs &amp; Basis'!L53</f>
        <v>0</v>
      </c>
      <c r="H80" s="67">
        <f>'Project Costs &amp; Basis'!N53</f>
        <v>0</v>
      </c>
      <c r="I80" s="67"/>
      <c r="J80" s="67">
        <f>'Project Costs &amp; Basis'!S53</f>
        <v>0</v>
      </c>
      <c r="K80" s="66">
        <f>'Project Costs &amp; Basis'!Q53</f>
        <v>0</v>
      </c>
    </row>
    <row r="81" spans="1:23" x14ac:dyDescent="0.2">
      <c r="A81" s="58" t="s">
        <v>433</v>
      </c>
      <c r="D81" s="67">
        <f>'MH Underwriting'!H42</f>
        <v>0</v>
      </c>
      <c r="E81" s="67"/>
      <c r="F81" s="67">
        <f>'Project Costs &amp; Basis'!H55</f>
        <v>0</v>
      </c>
      <c r="G81" s="67">
        <f>'Project Costs &amp; Basis'!L55</f>
        <v>0</v>
      </c>
      <c r="H81" s="67">
        <f>'Project Costs &amp; Basis'!N55</f>
        <v>0</v>
      </c>
      <c r="I81" s="67"/>
      <c r="J81" s="67">
        <f>'Project Costs &amp; Basis'!S55</f>
        <v>0</v>
      </c>
      <c r="K81" s="66">
        <f>'Project Costs &amp; Basis'!Q55</f>
        <v>0</v>
      </c>
      <c r="M81" s="97"/>
    </row>
    <row r="82" spans="1:23" x14ac:dyDescent="0.2">
      <c r="A82" s="58" t="s">
        <v>432</v>
      </c>
      <c r="D82" s="67">
        <f>'MH Underwriting'!H43</f>
        <v>0</v>
      </c>
      <c r="E82" s="67"/>
      <c r="F82" s="67">
        <f>'Project Costs &amp; Basis'!H57</f>
        <v>0</v>
      </c>
      <c r="G82" s="67">
        <f>'Project Costs &amp; Basis'!L57</f>
        <v>0</v>
      </c>
      <c r="H82" s="67">
        <f>'Project Costs &amp; Basis'!N57</f>
        <v>0</v>
      </c>
      <c r="I82" s="67"/>
      <c r="J82" s="67">
        <f>'Project Costs &amp; Basis'!S57</f>
        <v>0</v>
      </c>
      <c r="K82" s="66">
        <f>'Project Costs &amp; Basis'!Q57</f>
        <v>0</v>
      </c>
      <c r="M82" s="97"/>
      <c r="O82" s="57" t="s">
        <v>699</v>
      </c>
    </row>
    <row r="83" spans="1:23" x14ac:dyDescent="0.2">
      <c r="A83" s="58" t="s">
        <v>697</v>
      </c>
      <c r="D83" s="67">
        <f>'MH Underwriting'!H44</f>
        <v>0</v>
      </c>
      <c r="E83" s="67"/>
      <c r="F83" s="67">
        <f>'Project Costs &amp; Basis'!H59</f>
        <v>0</v>
      </c>
      <c r="G83" s="67" t="str">
        <f>'Project Costs &amp; Basis'!L59</f>
        <v/>
      </c>
      <c r="H83" s="67">
        <f>'Project Costs &amp; Basis'!N59</f>
        <v>0</v>
      </c>
      <c r="I83" s="67"/>
      <c r="J83" s="67">
        <f>'Project Costs &amp; Basis'!S59</f>
        <v>0</v>
      </c>
      <c r="K83" s="66">
        <f>'Project Costs &amp; Basis'!Q59</f>
        <v>0</v>
      </c>
      <c r="M83" s="97" t="str">
        <f>IF(I12=0,"",2000+2500+'Tax Credit Calc'!I25*0.075+'Tax Credit Calc'!I12*1000)</f>
        <v/>
      </c>
      <c r="O83" s="57" t="s">
        <v>700</v>
      </c>
    </row>
    <row r="84" spans="1:23" x14ac:dyDescent="0.2">
      <c r="A84" s="58" t="s">
        <v>431</v>
      </c>
      <c r="D84" s="67">
        <f>'MH Underwriting'!H45</f>
        <v>0</v>
      </c>
      <c r="E84" s="67"/>
      <c r="F84" s="67">
        <f>'Project Costs &amp; Basis'!H61</f>
        <v>0</v>
      </c>
      <c r="G84" s="67">
        <f>'Project Costs &amp; Basis'!L61</f>
        <v>0</v>
      </c>
      <c r="H84" s="67">
        <f>'Project Costs &amp; Basis'!N61</f>
        <v>0</v>
      </c>
      <c r="I84" s="67"/>
      <c r="J84" s="67">
        <f>'Project Costs &amp; Basis'!S61</f>
        <v>0</v>
      </c>
      <c r="K84" s="66">
        <f>'Project Costs &amp; Basis'!Q61</f>
        <v>0</v>
      </c>
      <c r="M84" s="97"/>
      <c r="O84" s="57" t="s">
        <v>988</v>
      </c>
    </row>
    <row r="85" spans="1:23" x14ac:dyDescent="0.2">
      <c r="A85" s="58" t="s">
        <v>430</v>
      </c>
      <c r="D85" s="67">
        <f>'MH Underwriting'!H46</f>
        <v>0</v>
      </c>
      <c r="E85" s="67"/>
      <c r="F85" s="67">
        <f>'Project Costs &amp; Basis'!H63</f>
        <v>0</v>
      </c>
      <c r="G85" s="67">
        <f>'Project Costs &amp; Basis'!L63</f>
        <v>0</v>
      </c>
      <c r="H85" s="67">
        <f>'Project Costs &amp; Basis'!N63</f>
        <v>0</v>
      </c>
      <c r="I85" s="67"/>
      <c r="J85" s="67">
        <f>'Project Costs &amp; Basis'!S63</f>
        <v>0</v>
      </c>
      <c r="K85" s="66">
        <f>'Project Costs &amp; Basis'!Q63</f>
        <v>0</v>
      </c>
      <c r="M85" s="97"/>
    </row>
    <row r="86" spans="1:23" x14ac:dyDescent="0.2">
      <c r="A86" s="58" t="s">
        <v>226</v>
      </c>
      <c r="D86" s="290">
        <f>'MH Underwriting'!H47</f>
        <v>0</v>
      </c>
      <c r="E86" s="67"/>
      <c r="F86" s="290">
        <f>'Project Costs &amp; Basis'!H65</f>
        <v>0</v>
      </c>
      <c r="G86" s="290">
        <f>'Project Costs &amp; Basis'!L65</f>
        <v>0</v>
      </c>
      <c r="H86" s="290">
        <f>'Project Costs &amp; Basis'!N65</f>
        <v>0</v>
      </c>
      <c r="I86" s="67"/>
      <c r="J86" s="290">
        <f>'Project Costs &amp; Basis'!S65</f>
        <v>0</v>
      </c>
      <c r="K86" s="291">
        <f>'Project Costs &amp; Basis'!Q65</f>
        <v>0</v>
      </c>
    </row>
    <row r="87" spans="1:23" s="60" customFormat="1" x14ac:dyDescent="0.2">
      <c r="A87" s="59" t="s">
        <v>429</v>
      </c>
      <c r="D87" s="292">
        <f>SUM(D80:D86)</f>
        <v>0</v>
      </c>
      <c r="E87" s="292"/>
      <c r="F87" s="292">
        <f>SUM(F80:F86)</f>
        <v>0</v>
      </c>
      <c r="G87" s="292">
        <f>SUM(G80:G86)</f>
        <v>0</v>
      </c>
      <c r="H87" s="292">
        <f>SUM(H80:H86)</f>
        <v>0</v>
      </c>
      <c r="I87" s="292"/>
      <c r="J87" s="292">
        <f>F87-K87</f>
        <v>0</v>
      </c>
      <c r="K87" s="293">
        <f>SUM(K80:K86)</f>
        <v>0</v>
      </c>
      <c r="M87" s="98"/>
      <c r="R87" s="57"/>
      <c r="S87" s="57"/>
      <c r="T87" s="57"/>
      <c r="U87" s="57"/>
      <c r="V87" s="57"/>
      <c r="W87" s="57"/>
    </row>
    <row r="88" spans="1:23" x14ac:dyDescent="0.2">
      <c r="A88" s="58" t="s">
        <v>41</v>
      </c>
      <c r="D88" s="67"/>
      <c r="E88" s="67"/>
      <c r="F88" s="67"/>
      <c r="G88" s="67"/>
      <c r="H88" s="67"/>
      <c r="I88" s="67"/>
      <c r="J88" s="67"/>
      <c r="K88" s="66"/>
      <c r="M88" s="97"/>
    </row>
    <row r="89" spans="1:23" x14ac:dyDescent="0.2">
      <c r="A89" s="58" t="s">
        <v>428</v>
      </c>
      <c r="D89" s="67">
        <f>'MH Underwriting'!H50</f>
        <v>0</v>
      </c>
      <c r="E89" s="67"/>
      <c r="F89" s="67">
        <f>'Project Costs &amp; Basis'!H73</f>
        <v>0</v>
      </c>
      <c r="G89" s="67">
        <f>'Project Costs &amp; Basis'!L73</f>
        <v>0</v>
      </c>
      <c r="H89" s="67">
        <f>'Project Costs &amp; Basis'!N73</f>
        <v>0</v>
      </c>
      <c r="I89" s="67"/>
      <c r="J89" s="67">
        <v>0</v>
      </c>
      <c r="K89" s="66">
        <f>'Project Costs &amp; Basis'!Q73</f>
        <v>0</v>
      </c>
      <c r="M89" s="97"/>
    </row>
    <row r="90" spans="1:23" x14ac:dyDescent="0.2">
      <c r="A90" s="58" t="s">
        <v>427</v>
      </c>
      <c r="D90" s="67">
        <f>'MH Underwriting'!H51</f>
        <v>0</v>
      </c>
      <c r="E90" s="67"/>
      <c r="F90" s="67">
        <v>0</v>
      </c>
      <c r="G90" s="67">
        <v>0</v>
      </c>
      <c r="H90" s="67">
        <f>'Project Costs &amp; Basis'!N75</f>
        <v>0</v>
      </c>
      <c r="I90" s="67"/>
      <c r="J90" s="67">
        <v>0</v>
      </c>
      <c r="K90" s="66">
        <f>'Project Costs &amp; Basis'!Q75</f>
        <v>0</v>
      </c>
      <c r="M90" s="97"/>
    </row>
    <row r="91" spans="1:23" x14ac:dyDescent="0.2">
      <c r="A91" s="58" t="s">
        <v>548</v>
      </c>
      <c r="D91" s="67">
        <f>'MH Underwriting'!H52</f>
        <v>0</v>
      </c>
      <c r="E91" s="67"/>
      <c r="F91" s="67">
        <v>0</v>
      </c>
      <c r="G91" s="67">
        <v>0</v>
      </c>
      <c r="H91" s="67">
        <f>'Project Costs &amp; Basis'!N77</f>
        <v>0</v>
      </c>
      <c r="I91" s="67"/>
      <c r="J91" s="67">
        <v>0</v>
      </c>
      <c r="K91" s="66">
        <f>'Project Costs &amp; Basis'!Q77</f>
        <v>0</v>
      </c>
      <c r="M91" s="97"/>
    </row>
    <row r="92" spans="1:23" x14ac:dyDescent="0.2">
      <c r="A92" s="58" t="s">
        <v>426</v>
      </c>
      <c r="D92" s="67">
        <f>'MH Underwriting'!H53</f>
        <v>0</v>
      </c>
      <c r="E92" s="67"/>
      <c r="F92" s="67">
        <f>'Project Costs &amp; Basis'!H79</f>
        <v>0</v>
      </c>
      <c r="G92" s="67">
        <f>'Project Costs &amp; Basis'!L79</f>
        <v>0</v>
      </c>
      <c r="H92" s="67">
        <f>'Project Costs &amp; Basis'!N79</f>
        <v>0</v>
      </c>
      <c r="I92" s="67"/>
      <c r="J92" s="67">
        <v>0</v>
      </c>
      <c r="K92" s="66">
        <f>'Project Costs &amp; Basis'!Q79</f>
        <v>0</v>
      </c>
      <c r="M92" s="97"/>
    </row>
    <row r="93" spans="1:23" x14ac:dyDescent="0.2">
      <c r="A93" s="58" t="s">
        <v>630</v>
      </c>
      <c r="D93" s="290">
        <f>'MH Underwriting'!H54</f>
        <v>0</v>
      </c>
      <c r="E93" s="67"/>
      <c r="F93" s="290">
        <f>'Project Costs &amp; Basis'!H81</f>
        <v>0</v>
      </c>
      <c r="G93" s="290">
        <f>'Project Costs &amp; Basis'!L81</f>
        <v>0</v>
      </c>
      <c r="H93" s="290">
        <f>'Project Costs &amp; Basis'!N81</f>
        <v>0</v>
      </c>
      <c r="I93" s="67"/>
      <c r="J93" s="290">
        <v>0</v>
      </c>
      <c r="K93" s="291">
        <f>'Project Costs &amp; Basis'!Q81</f>
        <v>0</v>
      </c>
      <c r="M93" s="97"/>
    </row>
    <row r="94" spans="1:23" s="60" customFormat="1" x14ac:dyDescent="0.2">
      <c r="A94" s="59" t="s">
        <v>425</v>
      </c>
      <c r="D94" s="292">
        <f>SUM(D89:D93)</f>
        <v>0</v>
      </c>
      <c r="E94" s="292"/>
      <c r="F94" s="292">
        <f>SUM(F89:F93)</f>
        <v>0</v>
      </c>
      <c r="G94" s="292">
        <f>SUM(G89:G93)</f>
        <v>0</v>
      </c>
      <c r="H94" s="292">
        <f>SUM(H89:H93)</f>
        <v>0</v>
      </c>
      <c r="I94" s="292"/>
      <c r="J94" s="292">
        <f>SUM(J89:J93)</f>
        <v>0</v>
      </c>
      <c r="K94" s="293">
        <f>SUM(K89:K93)</f>
        <v>0</v>
      </c>
      <c r="M94" s="98"/>
      <c r="R94" s="57"/>
      <c r="S94" s="57"/>
      <c r="T94" s="57"/>
      <c r="U94" s="57"/>
      <c r="V94" s="57"/>
      <c r="W94" s="57"/>
    </row>
    <row r="95" spans="1:23" x14ac:dyDescent="0.2">
      <c r="A95" s="58"/>
      <c r="D95" s="67"/>
      <c r="E95" s="67"/>
      <c r="F95" s="67"/>
      <c r="G95" s="67"/>
      <c r="H95" s="67"/>
      <c r="I95" s="67"/>
      <c r="J95" s="67"/>
      <c r="K95" s="66"/>
      <c r="M95" s="97"/>
    </row>
    <row r="96" spans="1:23" x14ac:dyDescent="0.2">
      <c r="A96" s="58" t="s">
        <v>424</v>
      </c>
      <c r="D96" s="67">
        <f>'MH Underwriting'!H57</f>
        <v>0</v>
      </c>
      <c r="E96" s="67"/>
      <c r="F96" s="67">
        <v>0</v>
      </c>
      <c r="G96" s="67">
        <v>0</v>
      </c>
      <c r="H96" s="67">
        <f>'Project Costs &amp; Basis'!N88</f>
        <v>0</v>
      </c>
      <c r="I96" s="67"/>
      <c r="J96" s="67">
        <v>0</v>
      </c>
      <c r="K96" s="66">
        <v>0</v>
      </c>
      <c r="M96" s="97">
        <f>('MH Underwriting'!I208+'MH Underwriting'!I209)/12*6</f>
        <v>0</v>
      </c>
      <c r="O96" s="57" t="s">
        <v>423</v>
      </c>
    </row>
    <row r="97" spans="1:23" x14ac:dyDescent="0.2">
      <c r="A97" s="58" t="s">
        <v>422</v>
      </c>
      <c r="D97" s="67">
        <f>'MH Underwriting'!H58</f>
        <v>0</v>
      </c>
      <c r="E97" s="67"/>
      <c r="F97" s="67">
        <v>0</v>
      </c>
      <c r="G97" s="67">
        <v>0</v>
      </c>
      <c r="H97" s="67">
        <f>'Project Costs &amp; Basis'!N90</f>
        <v>0</v>
      </c>
      <c r="I97" s="67"/>
      <c r="J97" s="67">
        <v>0</v>
      </c>
      <c r="K97" s="66">
        <v>0</v>
      </c>
      <c r="M97" s="97">
        <f>(D60-D59-D54+'MH Underwriting'!P50)*0.01</f>
        <v>0</v>
      </c>
      <c r="O97" s="57" t="s">
        <v>421</v>
      </c>
    </row>
    <row r="98" spans="1:23" x14ac:dyDescent="0.2">
      <c r="A98" s="58" t="s">
        <v>420</v>
      </c>
      <c r="D98" s="67">
        <f>'MH Underwriting'!H59</f>
        <v>0</v>
      </c>
      <c r="E98" s="67"/>
      <c r="F98" s="67">
        <v>0</v>
      </c>
      <c r="G98" s="67">
        <v>0</v>
      </c>
      <c r="H98" s="67">
        <f>'Project Costs &amp; Basis'!N92</f>
        <v>0</v>
      </c>
      <c r="I98" s="67"/>
      <c r="J98" s="67">
        <v>0</v>
      </c>
      <c r="K98" s="66">
        <v>0</v>
      </c>
      <c r="M98" s="97">
        <f>M101+M102</f>
        <v>0</v>
      </c>
      <c r="O98" s="57" t="s">
        <v>415</v>
      </c>
    </row>
    <row r="99" spans="1:23" x14ac:dyDescent="0.2">
      <c r="A99" s="58" t="s">
        <v>549</v>
      </c>
      <c r="D99" s="67">
        <f>'MH Underwriting'!H60</f>
        <v>0</v>
      </c>
      <c r="E99" s="67"/>
      <c r="F99" s="67">
        <v>0</v>
      </c>
      <c r="G99" s="67">
        <v>0</v>
      </c>
      <c r="H99" s="67">
        <f>'Project Costs &amp; Basis'!N94</f>
        <v>0</v>
      </c>
      <c r="I99" s="67"/>
      <c r="J99" s="67">
        <v>0</v>
      </c>
      <c r="K99" s="66">
        <v>0</v>
      </c>
      <c r="M99" s="97">
        <f>IF('MH Underwriting'!G5&lt;=50,'MH Underwriting'!G5*1000,50000)</f>
        <v>0</v>
      </c>
      <c r="O99" s="57" t="s">
        <v>412</v>
      </c>
    </row>
    <row r="100" spans="1:23" x14ac:dyDescent="0.2">
      <c r="A100" s="58" t="s">
        <v>418</v>
      </c>
      <c r="D100" s="67">
        <f>'MH Underwriting'!H61</f>
        <v>0</v>
      </c>
      <c r="E100" s="67"/>
      <c r="F100" s="67">
        <f>SUM('Project Costs &amp; Basis'!H102:H110)</f>
        <v>0</v>
      </c>
      <c r="G100" s="67">
        <f>SUM('Project Costs &amp; Basis'!L102:L110)</f>
        <v>0</v>
      </c>
      <c r="H100" s="67">
        <f>SUM('Project Costs &amp; Basis'!N102:N110)</f>
        <v>0</v>
      </c>
      <c r="I100" s="67"/>
      <c r="J100" s="67">
        <v>0</v>
      </c>
      <c r="K100" s="66">
        <v>0</v>
      </c>
    </row>
    <row r="101" spans="1:23" x14ac:dyDescent="0.2">
      <c r="A101" s="58" t="s">
        <v>416</v>
      </c>
      <c r="D101" s="67">
        <f>'MH Underwriting'!H62</f>
        <v>0</v>
      </c>
      <c r="E101" s="67"/>
      <c r="F101" s="67">
        <f>'Project Costs &amp; Basis'!H116</f>
        <v>0</v>
      </c>
      <c r="G101" s="67">
        <f>'Project Costs &amp; Basis'!L116</f>
        <v>0</v>
      </c>
      <c r="H101" s="67">
        <f>'Project Costs &amp; Basis'!N116</f>
        <v>0</v>
      </c>
      <c r="I101" s="67"/>
      <c r="J101" s="67">
        <f>'Project Costs &amp; Basis'!S116</f>
        <v>0</v>
      </c>
      <c r="K101" s="66">
        <f>'Project Costs &amp; Basis'!Q116</f>
        <v>0</v>
      </c>
      <c r="M101" s="97">
        <f>('MH Underwriting'!U186/2+'MH Underwriting'!U187/6)</f>
        <v>0</v>
      </c>
      <c r="O101" s="57" t="s">
        <v>419</v>
      </c>
    </row>
    <row r="102" spans="1:23" x14ac:dyDescent="0.2">
      <c r="A102" s="58" t="s">
        <v>414</v>
      </c>
      <c r="D102" s="67">
        <f>'MH Underwriting'!H63</f>
        <v>0</v>
      </c>
      <c r="E102" s="67"/>
      <c r="F102" s="67">
        <f>'Project Costs &amp; Basis'!H118</f>
        <v>0</v>
      </c>
      <c r="G102" s="67">
        <f>'Project Costs &amp; Basis'!L118</f>
        <v>0</v>
      </c>
      <c r="H102" s="67">
        <f>'Project Costs &amp; Basis'!N118</f>
        <v>0</v>
      </c>
      <c r="I102" s="67"/>
      <c r="J102" s="67">
        <f>'Project Costs &amp; Basis'!S118</f>
        <v>0</v>
      </c>
      <c r="K102" s="66">
        <f>'Project Costs &amp; Basis'!Q118</f>
        <v>0</v>
      </c>
      <c r="M102" s="97">
        <f>'MH Underwriting'!U187</f>
        <v>0</v>
      </c>
      <c r="O102" s="57" t="s">
        <v>417</v>
      </c>
    </row>
    <row r="103" spans="1:23" x14ac:dyDescent="0.2">
      <c r="A103" s="58" t="s">
        <v>413</v>
      </c>
      <c r="D103" s="67">
        <f>'MH Underwriting'!H64</f>
        <v>0</v>
      </c>
      <c r="E103" s="67"/>
      <c r="F103" s="67">
        <f>'Project Costs &amp; Basis'!H120</f>
        <v>0</v>
      </c>
      <c r="G103" s="67">
        <f>'Project Costs &amp; Basis'!L120</f>
        <v>0</v>
      </c>
      <c r="H103" s="67">
        <f>'Project Costs &amp; Basis'!N120</f>
        <v>0</v>
      </c>
      <c r="I103" s="67"/>
      <c r="J103" s="67">
        <f>'Project Costs &amp; Basis'!S120</f>
        <v>0</v>
      </c>
      <c r="K103" s="66">
        <f>'Project Costs &amp; Basis'!Q120</f>
        <v>0</v>
      </c>
    </row>
    <row r="104" spans="1:23" x14ac:dyDescent="0.2">
      <c r="A104" s="58" t="s">
        <v>226</v>
      </c>
      <c r="D104" s="290">
        <f>'MH Underwriting'!H65</f>
        <v>0</v>
      </c>
      <c r="E104" s="67"/>
      <c r="F104" s="290">
        <v>0</v>
      </c>
      <c r="G104" s="290">
        <v>0</v>
      </c>
      <c r="H104" s="290">
        <f>'Project Costs &amp; Basis'!N96</f>
        <v>0</v>
      </c>
      <c r="I104" s="67"/>
      <c r="J104" s="290">
        <f>'Project Costs &amp; Basis'!S122</f>
        <v>0</v>
      </c>
      <c r="K104" s="291">
        <f>'Project Costs &amp; Basis'!Q122</f>
        <v>0</v>
      </c>
    </row>
    <row r="105" spans="1:23" s="60" customFormat="1" x14ac:dyDescent="0.2">
      <c r="A105" s="59" t="s">
        <v>411</v>
      </c>
      <c r="D105" s="292">
        <f>SUM(D96:D104)</f>
        <v>0</v>
      </c>
      <c r="E105" s="292"/>
      <c r="F105" s="292">
        <f>SUM(F96:F104)</f>
        <v>0</v>
      </c>
      <c r="G105" s="292">
        <f>SUM(G96:G104)</f>
        <v>0</v>
      </c>
      <c r="H105" s="292">
        <f>SUM(H96:H104)</f>
        <v>0</v>
      </c>
      <c r="I105" s="292"/>
      <c r="J105" s="292">
        <f>SUM(J96:J104)</f>
        <v>0</v>
      </c>
      <c r="K105" s="293">
        <f>SUM(K96:K104)</f>
        <v>0</v>
      </c>
      <c r="R105" s="57"/>
      <c r="S105" s="57"/>
      <c r="T105" s="57"/>
      <c r="U105" s="57"/>
      <c r="V105" s="57"/>
      <c r="W105" s="57"/>
    </row>
    <row r="106" spans="1:23" x14ac:dyDescent="0.2">
      <c r="A106" s="58" t="s">
        <v>41</v>
      </c>
      <c r="D106" s="67"/>
      <c r="E106" s="67"/>
      <c r="F106" s="67"/>
      <c r="G106" s="67"/>
      <c r="H106" s="67"/>
      <c r="I106" s="67"/>
      <c r="J106" s="67"/>
      <c r="K106" s="66"/>
    </row>
    <row r="107" spans="1:23" x14ac:dyDescent="0.2">
      <c r="A107" s="96" t="s">
        <v>771</v>
      </c>
      <c r="B107" s="62"/>
      <c r="C107" s="62"/>
      <c r="D107" s="105">
        <f>D94+D60+D71+D78+D87+D105</f>
        <v>0</v>
      </c>
      <c r="E107" s="105"/>
      <c r="F107" s="105">
        <f>F94+F60+F71+F78+F87+F105</f>
        <v>0</v>
      </c>
      <c r="G107" s="105">
        <f>G94+G60+G71+G78+G87+G105</f>
        <v>0</v>
      </c>
      <c r="H107" s="105">
        <f>H94+H60+H71+H78+H87+H105</f>
        <v>0</v>
      </c>
      <c r="I107" s="105"/>
      <c r="J107" s="105">
        <f>J60+J71+J78+J87+J94+J105</f>
        <v>0</v>
      </c>
      <c r="K107" s="104">
        <f>K60+K71+K78+K87+K94+K105</f>
        <v>0</v>
      </c>
    </row>
    <row r="108" spans="1:23" x14ac:dyDescent="0.2">
      <c r="A108" s="95"/>
      <c r="D108" s="95"/>
      <c r="E108" s="95"/>
      <c r="F108" s="95"/>
      <c r="G108" s="95"/>
      <c r="H108" s="95"/>
      <c r="I108" s="95"/>
      <c r="J108" s="95"/>
      <c r="K108" s="95"/>
    </row>
    <row r="109" spans="1:23" x14ac:dyDescent="0.2">
      <c r="A109" s="84" t="s">
        <v>410</v>
      </c>
      <c r="B109" s="83"/>
      <c r="C109" s="83"/>
      <c r="D109" s="83"/>
      <c r="E109" s="83"/>
      <c r="F109" s="83"/>
      <c r="G109" s="83"/>
      <c r="H109" s="83"/>
      <c r="I109" s="83"/>
      <c r="J109" s="83"/>
      <c r="K109" s="82"/>
    </row>
    <row r="110" spans="1:23" x14ac:dyDescent="0.2">
      <c r="A110" s="63"/>
      <c r="B110" s="62"/>
      <c r="C110" s="62"/>
      <c r="D110" s="94">
        <f ca="1">'MH Underwriting'!H217</f>
        <v>46752</v>
      </c>
      <c r="E110" s="91">
        <f ca="1">D110+365</f>
        <v>47117</v>
      </c>
      <c r="F110" s="91">
        <f ca="1">E110+365</f>
        <v>47482</v>
      </c>
      <c r="G110" s="91">
        <f ca="1">F110+365</f>
        <v>47847</v>
      </c>
      <c r="H110" s="91">
        <f ca="1">G110+366</f>
        <v>48213</v>
      </c>
      <c r="I110" s="91">
        <f ca="1">H110+365</f>
        <v>48578</v>
      </c>
      <c r="J110" s="91">
        <f ca="1">I110+365</f>
        <v>48943</v>
      </c>
      <c r="K110" s="93">
        <f ca="1">J110+365</f>
        <v>49308</v>
      </c>
    </row>
    <row r="111" spans="1:23" x14ac:dyDescent="0.2">
      <c r="A111" s="65" t="s">
        <v>409</v>
      </c>
      <c r="D111" s="87">
        <f ca="1">'MH Underwriting'!H226</f>
        <v>0</v>
      </c>
      <c r="E111" s="87">
        <f>'MH Underwriting'!I226</f>
        <v>0</v>
      </c>
      <c r="F111" s="87">
        <f>'MH Underwriting'!J226</f>
        <v>0</v>
      </c>
      <c r="G111" s="87">
        <f>'MH Underwriting'!K226</f>
        <v>0</v>
      </c>
      <c r="H111" s="87">
        <f>'MH Underwriting'!L226</f>
        <v>0</v>
      </c>
      <c r="I111" s="87">
        <f ca="1">'MH Underwriting'!M226</f>
        <v>0</v>
      </c>
      <c r="J111" s="87">
        <f ca="1">'MH Underwriting'!P226</f>
        <v>0</v>
      </c>
      <c r="K111" s="89">
        <f ca="1">'MH Underwriting'!Q226</f>
        <v>0</v>
      </c>
    </row>
    <row r="112" spans="1:23" x14ac:dyDescent="0.2">
      <c r="A112" s="65" t="s">
        <v>408</v>
      </c>
      <c r="D112" s="87">
        <f ca="1">'MH Underwriting'!H228+'MH Underwriting'!H229-('MH Underwriting'!G242+'MH Underwriting'!G250-'MH Underwriting'!H242-'MH Underwriting'!H250)</f>
        <v>0</v>
      </c>
      <c r="E112" s="87">
        <f ca="1">'MH Underwriting'!I228+'MH Underwriting'!I229-('MH Underwriting'!H242+'MH Underwriting'!H250-'MH Underwriting'!I242-'MH Underwriting'!I250)</f>
        <v>0</v>
      </c>
      <c r="F112" s="87">
        <f ca="1">'MH Underwriting'!J228+'MH Underwriting'!J229-('MH Underwriting'!I242+'MH Underwriting'!I250-'MH Underwriting'!J242-'MH Underwriting'!J250)</f>
        <v>0</v>
      </c>
      <c r="G112" s="87">
        <f ca="1">'MH Underwriting'!K228+'MH Underwriting'!K229-('MH Underwriting'!J242+'MH Underwriting'!J250-'MH Underwriting'!K242-'MH Underwriting'!K250)</f>
        <v>0</v>
      </c>
      <c r="H112" s="87">
        <f ca="1">'MH Underwriting'!L228+'MH Underwriting'!L229-('MH Underwriting'!K242+'MH Underwriting'!K250-'MH Underwriting'!L242-'MH Underwriting'!L250)</f>
        <v>0</v>
      </c>
      <c r="I112" s="87">
        <f ca="1">'MH Underwriting'!M228+'MH Underwriting'!M229-('MH Underwriting'!L242+'MH Underwriting'!L250-'MH Underwriting'!M242-'MH Underwriting'!M250)</f>
        <v>0</v>
      </c>
      <c r="J112" s="87">
        <f ca="1">'MH Underwriting'!P228+'MH Underwriting'!P229-('MH Underwriting'!M242+'MH Underwriting'!M250-'MH Underwriting'!P242-'MH Underwriting'!P250)</f>
        <v>0</v>
      </c>
      <c r="K112" s="89">
        <f ca="1">'MH Underwriting'!Q228+'MH Underwriting'!Q229-('MH Underwriting'!P242+'MH Underwriting'!P250-'MH Underwriting'!Q242-'MH Underwriting'!Q250)</f>
        <v>0</v>
      </c>
    </row>
    <row r="113" spans="1:11" x14ac:dyDescent="0.2">
      <c r="A113" s="65" t="s">
        <v>407</v>
      </c>
      <c r="D113" s="87">
        <v>0</v>
      </c>
      <c r="E113" s="87">
        <v>0</v>
      </c>
      <c r="F113" s="87">
        <v>0</v>
      </c>
      <c r="G113" s="87">
        <v>0</v>
      </c>
      <c r="H113" s="87">
        <v>0</v>
      </c>
      <c r="I113" s="87">
        <v>0</v>
      </c>
      <c r="J113" s="87">
        <v>0</v>
      </c>
      <c r="K113" s="89">
        <v>0</v>
      </c>
    </row>
    <row r="114" spans="1:11" x14ac:dyDescent="0.2">
      <c r="A114" s="65" t="s">
        <v>406</v>
      </c>
      <c r="D114" s="87">
        <f ca="1">$F$107/27.5*'MH Underwriting'!G215/12</f>
        <v>0</v>
      </c>
      <c r="E114" s="87">
        <f>$F$107/27.5</f>
        <v>0</v>
      </c>
      <c r="F114" s="87">
        <f t="shared" ref="F114:K114" si="2">E114</f>
        <v>0</v>
      </c>
      <c r="G114" s="87">
        <f t="shared" si="2"/>
        <v>0</v>
      </c>
      <c r="H114" s="87">
        <f t="shared" si="2"/>
        <v>0</v>
      </c>
      <c r="I114" s="87">
        <f t="shared" si="2"/>
        <v>0</v>
      </c>
      <c r="J114" s="87">
        <f t="shared" si="2"/>
        <v>0</v>
      </c>
      <c r="K114" s="89">
        <f t="shared" si="2"/>
        <v>0</v>
      </c>
    </row>
    <row r="115" spans="1:11" x14ac:dyDescent="0.2">
      <c r="A115" s="65" t="s">
        <v>405</v>
      </c>
      <c r="D115" s="87">
        <v>0</v>
      </c>
      <c r="E115" s="87">
        <v>0</v>
      </c>
      <c r="F115" s="87">
        <v>0</v>
      </c>
      <c r="G115" s="87">
        <v>0</v>
      </c>
      <c r="H115" s="87">
        <v>0</v>
      </c>
      <c r="I115" s="87">
        <v>0</v>
      </c>
      <c r="J115" s="87">
        <v>0</v>
      </c>
      <c r="K115" s="89">
        <v>0</v>
      </c>
    </row>
    <row r="116" spans="1:11" x14ac:dyDescent="0.2">
      <c r="A116" s="65" t="s">
        <v>404</v>
      </c>
      <c r="D116" s="87" t="e">
        <f ca="1">((G107-G83)/5+G83/30)*'MH Underwriting'!G215/12</f>
        <v>#VALUE!</v>
      </c>
      <c r="E116" s="67" t="e">
        <f>((G107-G83)/5+G83/30)</f>
        <v>#VALUE!</v>
      </c>
      <c r="F116" s="67" t="e">
        <f>E116</f>
        <v>#VALUE!</v>
      </c>
      <c r="G116" s="67" t="e">
        <f>F116</f>
        <v>#VALUE!</v>
      </c>
      <c r="H116" s="67" t="e">
        <f>G116</f>
        <v>#VALUE!</v>
      </c>
      <c r="I116" s="67" t="e">
        <f ca="1">(G107-G83)/5*((12-'MH Underwriting'!G215)/12)+G83/30</f>
        <v>#VALUE!</v>
      </c>
      <c r="J116" s="67" t="e">
        <f>G83/30</f>
        <v>#VALUE!</v>
      </c>
      <c r="K116" s="66" t="e">
        <f>J116</f>
        <v>#VALUE!</v>
      </c>
    </row>
    <row r="117" spans="1:11" x14ac:dyDescent="0.2">
      <c r="A117" s="65" t="s">
        <v>403</v>
      </c>
      <c r="D117" s="67" t="e">
        <f t="shared" ref="D117:K117" ca="1" si="3">D111-SUM(D112:D116)</f>
        <v>#VALUE!</v>
      </c>
      <c r="E117" s="67" t="e">
        <f t="shared" ca="1" si="3"/>
        <v>#VALUE!</v>
      </c>
      <c r="F117" s="67" t="e">
        <f t="shared" ca="1" si="3"/>
        <v>#VALUE!</v>
      </c>
      <c r="G117" s="67" t="e">
        <f t="shared" ca="1" si="3"/>
        <v>#VALUE!</v>
      </c>
      <c r="H117" s="67" t="e">
        <f t="shared" ca="1" si="3"/>
        <v>#VALUE!</v>
      </c>
      <c r="I117" s="67" t="e">
        <f t="shared" ca="1" si="3"/>
        <v>#VALUE!</v>
      </c>
      <c r="J117" s="67" t="e">
        <f t="shared" ca="1" si="3"/>
        <v>#VALUE!</v>
      </c>
      <c r="K117" s="66" t="e">
        <f t="shared" ca="1" si="3"/>
        <v>#VALUE!</v>
      </c>
    </row>
    <row r="118" spans="1:11" x14ac:dyDescent="0.2">
      <c r="A118" s="63"/>
      <c r="B118" s="62"/>
      <c r="C118" s="62"/>
      <c r="D118" s="62"/>
      <c r="E118" s="86"/>
      <c r="F118" s="86"/>
      <c r="G118" s="86"/>
      <c r="H118" s="86"/>
      <c r="I118" s="62"/>
      <c r="J118" s="62"/>
      <c r="K118" s="85"/>
    </row>
    <row r="119" spans="1:11" x14ac:dyDescent="0.2">
      <c r="E119" s="69"/>
      <c r="F119" s="69"/>
      <c r="G119" s="69"/>
      <c r="H119" s="69"/>
    </row>
    <row r="120" spans="1:11" x14ac:dyDescent="0.2">
      <c r="A120" s="84" t="s">
        <v>410</v>
      </c>
      <c r="B120" s="83"/>
      <c r="C120" s="83"/>
      <c r="D120" s="83"/>
      <c r="E120" s="83"/>
      <c r="F120" s="83"/>
      <c r="G120" s="83"/>
      <c r="H120" s="83"/>
      <c r="I120" s="83"/>
      <c r="J120" s="83"/>
      <c r="K120" s="82"/>
    </row>
    <row r="121" spans="1:11" x14ac:dyDescent="0.2">
      <c r="A121" s="63"/>
      <c r="B121" s="62"/>
      <c r="C121" s="62"/>
      <c r="D121" s="91">
        <f ca="1">K110+366</f>
        <v>49674</v>
      </c>
      <c r="E121" s="91">
        <f ca="1">D121+365</f>
        <v>50039</v>
      </c>
      <c r="F121" s="92">
        <f ca="1">E121+365</f>
        <v>50404</v>
      </c>
      <c r="G121" s="91">
        <f ca="1">F121+365</f>
        <v>50769</v>
      </c>
      <c r="H121" s="91">
        <f ca="1">G121+366</f>
        <v>51135</v>
      </c>
      <c r="I121" s="91">
        <f ca="1">H121+365</f>
        <v>51500</v>
      </c>
      <c r="J121" s="91">
        <f ca="1">I121+365</f>
        <v>51865</v>
      </c>
      <c r="K121" s="90">
        <f ca="1">J121+365</f>
        <v>52230</v>
      </c>
    </row>
    <row r="122" spans="1:11" x14ac:dyDescent="0.2">
      <c r="A122" s="65" t="s">
        <v>409</v>
      </c>
      <c r="D122" s="87">
        <f ca="1">'MH Underwriting'!R226</f>
        <v>0</v>
      </c>
      <c r="E122" s="87">
        <f ca="1">'MH Underwriting'!S226</f>
        <v>0</v>
      </c>
      <c r="F122" s="67">
        <f ca="1">'MH Underwriting'!T226</f>
        <v>0</v>
      </c>
      <c r="G122" s="67">
        <f ca="1">'MH Underwriting'!H267</f>
        <v>0</v>
      </c>
      <c r="H122" s="67">
        <f ca="1">'MH Underwriting'!I267</f>
        <v>0</v>
      </c>
      <c r="I122" s="67">
        <f ca="1">'MH Underwriting'!J267</f>
        <v>0</v>
      </c>
      <c r="J122" s="67">
        <f ca="1">'MH Underwriting'!K267</f>
        <v>0</v>
      </c>
      <c r="K122" s="66">
        <f ca="1">'MH Underwriting'!L267*((12-'MH Underwriting'!G215)/12)</f>
        <v>0</v>
      </c>
    </row>
    <row r="123" spans="1:11" x14ac:dyDescent="0.2">
      <c r="A123" s="65" t="s">
        <v>408</v>
      </c>
      <c r="D123" s="996">
        <f ca="1">'MH Underwriting'!R228+'MH Underwriting'!R2238-('MH Underwriting'!Q242+'MH Underwriting'!Q250-'MH Underwriting'!R242-'MH Underwriting'!R250)</f>
        <v>0</v>
      </c>
      <c r="E123" s="996">
        <f ca="1">'MH Underwriting'!S228+'MH Underwriting'!S2238-('MH Underwriting'!R242+'MH Underwriting'!R250-'MH Underwriting'!S242-'MH Underwriting'!S250)</f>
        <v>0</v>
      </c>
      <c r="F123" s="996">
        <f ca="1">'MH Underwriting'!T228+'MH Underwriting'!T2238-('MH Underwriting'!S242+'MH Underwriting'!S250-'MH Underwriting'!T242-'MH Underwriting'!T250)</f>
        <v>0</v>
      </c>
      <c r="G123" s="87">
        <f ca="1">'MH Underwriting'!H269+'MH Underwriting'!H270-('MH Underwriting'!G283+'MH Underwriting'!G291-'MH Underwriting'!H283-'MH Underwriting'!H291)</f>
        <v>0</v>
      </c>
      <c r="H123" s="87">
        <f ca="1">'MH Underwriting'!I269+'MH Underwriting'!I270-('MH Underwriting'!H283+'MH Underwriting'!H291-'MH Underwriting'!I283-'MH Underwriting'!I291)</f>
        <v>0</v>
      </c>
      <c r="I123" s="87">
        <f ca="1">'MH Underwriting'!J269+'MH Underwriting'!J270-('MH Underwriting'!I283+'MH Underwriting'!I291-'MH Underwriting'!J283-'MH Underwriting'!J291)</f>
        <v>0</v>
      </c>
      <c r="J123" s="87">
        <f ca="1">'MH Underwriting'!K269+'MH Underwriting'!K270-('MH Underwriting'!J283+'MH Underwriting'!J291-'MH Underwriting'!K283-'MH Underwriting'!K291)</f>
        <v>0</v>
      </c>
      <c r="K123" s="89">
        <f ca="1">'MH Underwriting'!L269+'MH Underwriting'!L270-('MH Underwriting'!K283+'MH Underwriting'!K291-'MH Underwriting'!L283-'MH Underwriting'!L291)</f>
        <v>0</v>
      </c>
    </row>
    <row r="124" spans="1:11" x14ac:dyDescent="0.2">
      <c r="A124" s="65" t="s">
        <v>407</v>
      </c>
      <c r="D124" s="88">
        <v>0</v>
      </c>
      <c r="E124" s="87">
        <v>0</v>
      </c>
      <c r="F124" s="67">
        <v>0</v>
      </c>
      <c r="G124" s="67">
        <v>0</v>
      </c>
      <c r="H124" s="67">
        <v>0</v>
      </c>
      <c r="I124" s="67">
        <v>0</v>
      </c>
      <c r="J124" s="67">
        <v>0</v>
      </c>
      <c r="K124" s="66">
        <v>0</v>
      </c>
    </row>
    <row r="125" spans="1:11" x14ac:dyDescent="0.2">
      <c r="A125" s="65" t="s">
        <v>406</v>
      </c>
      <c r="D125" s="87">
        <f>K114</f>
        <v>0</v>
      </c>
      <c r="E125" s="87">
        <f>D125</f>
        <v>0</v>
      </c>
      <c r="F125" s="67">
        <f>$E$114</f>
        <v>0</v>
      </c>
      <c r="G125" s="67">
        <f>F125</f>
        <v>0</v>
      </c>
      <c r="H125" s="67">
        <f>G125</f>
        <v>0</v>
      </c>
      <c r="I125" s="67">
        <f>H125</f>
        <v>0</v>
      </c>
      <c r="J125" s="67">
        <f>I125</f>
        <v>0</v>
      </c>
      <c r="K125" s="66">
        <f ca="1">J125*((12-'MH Underwriting'!G215)/12)</f>
        <v>0</v>
      </c>
    </row>
    <row r="126" spans="1:11" x14ac:dyDescent="0.2">
      <c r="A126" s="65" t="s">
        <v>405</v>
      </c>
      <c r="D126" s="87">
        <v>0</v>
      </c>
      <c r="E126" s="87">
        <v>0</v>
      </c>
      <c r="F126" s="67">
        <v>0</v>
      </c>
      <c r="G126" s="67">
        <v>0</v>
      </c>
      <c r="H126" s="67">
        <v>0</v>
      </c>
      <c r="I126" s="67">
        <v>0</v>
      </c>
      <c r="J126" s="67">
        <v>0</v>
      </c>
      <c r="K126" s="66">
        <v>0</v>
      </c>
    </row>
    <row r="127" spans="1:11" x14ac:dyDescent="0.2">
      <c r="A127" s="65" t="s">
        <v>404</v>
      </c>
      <c r="D127" s="67" t="e">
        <f>K116</f>
        <v>#VALUE!</v>
      </c>
      <c r="E127" s="67" t="e">
        <f t="shared" ref="E127:J127" si="4">D127</f>
        <v>#VALUE!</v>
      </c>
      <c r="F127" s="67" t="e">
        <f t="shared" si="4"/>
        <v>#VALUE!</v>
      </c>
      <c r="G127" s="67" t="e">
        <f t="shared" si="4"/>
        <v>#VALUE!</v>
      </c>
      <c r="H127" s="67" t="e">
        <f t="shared" si="4"/>
        <v>#VALUE!</v>
      </c>
      <c r="I127" s="67" t="e">
        <f t="shared" si="4"/>
        <v>#VALUE!</v>
      </c>
      <c r="J127" s="67" t="e">
        <f t="shared" si="4"/>
        <v>#VALUE!</v>
      </c>
      <c r="K127" s="66" t="e">
        <f ca="1">J127*((12-'MH Underwriting'!G215)/12)</f>
        <v>#VALUE!</v>
      </c>
    </row>
    <row r="128" spans="1:11" x14ac:dyDescent="0.2">
      <c r="A128" s="65" t="s">
        <v>403</v>
      </c>
      <c r="D128" s="67" t="e">
        <f t="shared" ref="D128:K128" ca="1" si="5">D122-SUM(D123:D127)</f>
        <v>#VALUE!</v>
      </c>
      <c r="E128" s="67" t="e">
        <f t="shared" ca="1" si="5"/>
        <v>#VALUE!</v>
      </c>
      <c r="F128" s="67" t="e">
        <f t="shared" ca="1" si="5"/>
        <v>#VALUE!</v>
      </c>
      <c r="G128" s="67" t="e">
        <f t="shared" ca="1" si="5"/>
        <v>#VALUE!</v>
      </c>
      <c r="H128" s="67" t="e">
        <f t="shared" ca="1" si="5"/>
        <v>#VALUE!</v>
      </c>
      <c r="I128" s="67" t="e">
        <f t="shared" ca="1" si="5"/>
        <v>#VALUE!</v>
      </c>
      <c r="J128" s="67" t="e">
        <f t="shared" ca="1" si="5"/>
        <v>#VALUE!</v>
      </c>
      <c r="K128" s="66" t="e">
        <f t="shared" ca="1" si="5"/>
        <v>#VALUE!</v>
      </c>
    </row>
    <row r="129" spans="1:11" x14ac:dyDescent="0.2">
      <c r="A129" s="63"/>
      <c r="B129" s="62"/>
      <c r="C129" s="62"/>
      <c r="D129" s="62"/>
      <c r="E129" s="62"/>
      <c r="F129" s="62"/>
      <c r="G129" s="86"/>
      <c r="H129" s="86"/>
      <c r="I129" s="86"/>
      <c r="J129" s="86"/>
      <c r="K129" s="85"/>
    </row>
    <row r="132" spans="1:11" x14ac:dyDescent="0.2">
      <c r="A132" s="84" t="s">
        <v>402</v>
      </c>
      <c r="B132" s="83"/>
      <c r="C132" s="83"/>
      <c r="D132" s="83"/>
      <c r="E132" s="83"/>
      <c r="F132" s="83"/>
      <c r="G132" s="83"/>
      <c r="H132" s="83"/>
      <c r="I132" s="82"/>
    </row>
    <row r="133" spans="1:11" x14ac:dyDescent="0.2">
      <c r="A133" s="74" t="s">
        <v>401</v>
      </c>
      <c r="B133" s="80"/>
      <c r="C133" s="80"/>
      <c r="D133" s="79" t="s">
        <v>400</v>
      </c>
      <c r="E133" s="79" t="s">
        <v>399</v>
      </c>
      <c r="F133" s="79" t="s">
        <v>398</v>
      </c>
      <c r="G133" s="79" t="s">
        <v>397</v>
      </c>
      <c r="H133" s="79" t="s">
        <v>396</v>
      </c>
      <c r="I133" s="78" t="s">
        <v>395</v>
      </c>
    </row>
    <row r="134" spans="1:11" x14ac:dyDescent="0.2">
      <c r="A134" s="81"/>
      <c r="B134" s="80"/>
      <c r="C134" s="80"/>
      <c r="D134" s="79" t="s">
        <v>394</v>
      </c>
      <c r="E134" s="79" t="s">
        <v>393</v>
      </c>
      <c r="F134" s="79" t="s">
        <v>392</v>
      </c>
      <c r="G134" s="79" t="s">
        <v>391</v>
      </c>
      <c r="H134" s="79" t="s">
        <v>391</v>
      </c>
      <c r="I134" s="78" t="s">
        <v>278</v>
      </c>
    </row>
    <row r="135" spans="1:11" x14ac:dyDescent="0.2">
      <c r="A135" s="77" t="s">
        <v>3</v>
      </c>
      <c r="B135" s="76" t="s">
        <v>390</v>
      </c>
      <c r="C135" s="76"/>
      <c r="D135" s="76" t="s">
        <v>129</v>
      </c>
      <c r="E135" s="76" t="s">
        <v>389</v>
      </c>
      <c r="F135" s="76" t="s">
        <v>388</v>
      </c>
      <c r="G135" s="76" t="s">
        <v>387</v>
      </c>
      <c r="H135" s="76" t="s">
        <v>386</v>
      </c>
      <c r="I135" s="75" t="s">
        <v>385</v>
      </c>
    </row>
    <row r="136" spans="1:11" x14ac:dyDescent="0.2">
      <c r="A136" s="74"/>
      <c r="B136" s="69">
        <f>NPV(0.08,B138:B145)</f>
        <v>0</v>
      </c>
      <c r="C136" s="69"/>
      <c r="H136" s="67"/>
      <c r="I136" s="66" t="e">
        <f ca="1">NPV(0.08,I138:I154)</f>
        <v>#VALUE!</v>
      </c>
    </row>
    <row r="137" spans="1:11" x14ac:dyDescent="0.2">
      <c r="A137" s="74"/>
      <c r="B137" s="69"/>
      <c r="C137" s="69"/>
      <c r="H137" s="67"/>
      <c r="I137" s="66"/>
    </row>
    <row r="138" spans="1:11" x14ac:dyDescent="0.2">
      <c r="A138" s="73">
        <f ca="1">A33</f>
        <v>46203</v>
      </c>
      <c r="B138" s="67">
        <f t="shared" ref="B138:B145" si="6">D33</f>
        <v>0</v>
      </c>
      <c r="C138" s="67"/>
      <c r="D138" s="72">
        <v>0</v>
      </c>
      <c r="E138" s="67">
        <v>0</v>
      </c>
      <c r="F138" s="67">
        <v>0</v>
      </c>
      <c r="G138" s="71">
        <f>E9</f>
        <v>0.22</v>
      </c>
      <c r="H138" s="67">
        <f t="shared" ref="H138:H154" si="7">F138*G138*-1</f>
        <v>0</v>
      </c>
      <c r="I138" s="66">
        <f t="shared" ref="I138:I149" si="8">D138+E138+H138-B138</f>
        <v>0</v>
      </c>
    </row>
    <row r="139" spans="1:11" x14ac:dyDescent="0.2">
      <c r="A139" s="73">
        <f t="shared" ref="A139:A154" ca="1" si="9">A138+365</f>
        <v>46568</v>
      </c>
      <c r="B139" s="67">
        <f t="shared" si="6"/>
        <v>0</v>
      </c>
      <c r="C139" s="67"/>
      <c r="D139" s="72">
        <f ca="1">I23*'MH Underwriting'!G215/12</f>
        <v>0</v>
      </c>
      <c r="E139" s="67">
        <f ca="1">'MH Underwriting'!H$231</f>
        <v>0</v>
      </c>
      <c r="F139" s="67" t="e">
        <f ca="1">D117</f>
        <v>#VALUE!</v>
      </c>
      <c r="G139" s="71">
        <f t="shared" ref="G139:G154" si="10">G138</f>
        <v>0.22</v>
      </c>
      <c r="H139" s="67" t="e">
        <f t="shared" ca="1" si="7"/>
        <v>#VALUE!</v>
      </c>
      <c r="I139" s="66" t="e">
        <f t="shared" ca="1" si="8"/>
        <v>#VALUE!</v>
      </c>
    </row>
    <row r="140" spans="1:11" x14ac:dyDescent="0.2">
      <c r="A140" s="73">
        <f t="shared" ca="1" si="9"/>
        <v>46933</v>
      </c>
      <c r="B140" s="67">
        <f t="shared" si="6"/>
        <v>0</v>
      </c>
      <c r="C140" s="67"/>
      <c r="D140" s="72">
        <f>I23</f>
        <v>0</v>
      </c>
      <c r="E140" s="67">
        <f>'MH Underwriting'!I$231</f>
        <v>0</v>
      </c>
      <c r="F140" s="67" t="e">
        <f ca="1">E117</f>
        <v>#VALUE!</v>
      </c>
      <c r="G140" s="71">
        <f t="shared" si="10"/>
        <v>0.22</v>
      </c>
      <c r="H140" s="67" t="e">
        <f t="shared" ca="1" si="7"/>
        <v>#VALUE!</v>
      </c>
      <c r="I140" s="66" t="e">
        <f t="shared" ca="1" si="8"/>
        <v>#VALUE!</v>
      </c>
    </row>
    <row r="141" spans="1:11" x14ac:dyDescent="0.2">
      <c r="A141" s="73">
        <f t="shared" ca="1" si="9"/>
        <v>47298</v>
      </c>
      <c r="B141" s="67">
        <f t="shared" si="6"/>
        <v>0</v>
      </c>
      <c r="C141" s="67"/>
      <c r="D141" s="72">
        <f t="shared" ref="D141:D148" si="11">D140</f>
        <v>0</v>
      </c>
      <c r="E141" s="67">
        <f>'MH Underwriting'!J$231</f>
        <v>0</v>
      </c>
      <c r="F141" s="67" t="e">
        <f ca="1">F117</f>
        <v>#VALUE!</v>
      </c>
      <c r="G141" s="71">
        <f t="shared" si="10"/>
        <v>0.22</v>
      </c>
      <c r="H141" s="67" t="e">
        <f t="shared" ca="1" si="7"/>
        <v>#VALUE!</v>
      </c>
      <c r="I141" s="66" t="e">
        <f t="shared" ca="1" si="8"/>
        <v>#VALUE!</v>
      </c>
    </row>
    <row r="142" spans="1:11" x14ac:dyDescent="0.2">
      <c r="A142" s="73">
        <f t="shared" ca="1" si="9"/>
        <v>47663</v>
      </c>
      <c r="B142" s="67">
        <f t="shared" si="6"/>
        <v>0</v>
      </c>
      <c r="C142" s="67"/>
      <c r="D142" s="72">
        <f t="shared" si="11"/>
        <v>0</v>
      </c>
      <c r="E142" s="67">
        <f>'MH Underwriting'!K$231</f>
        <v>0</v>
      </c>
      <c r="F142" s="67" t="e">
        <f ca="1">G117</f>
        <v>#VALUE!</v>
      </c>
      <c r="G142" s="71">
        <f t="shared" si="10"/>
        <v>0.22</v>
      </c>
      <c r="H142" s="67" t="e">
        <f t="shared" ca="1" si="7"/>
        <v>#VALUE!</v>
      </c>
      <c r="I142" s="66" t="e">
        <f t="shared" ca="1" si="8"/>
        <v>#VALUE!</v>
      </c>
    </row>
    <row r="143" spans="1:11" x14ac:dyDescent="0.2">
      <c r="A143" s="73">
        <f t="shared" ca="1" si="9"/>
        <v>48028</v>
      </c>
      <c r="B143" s="67">
        <f t="shared" si="6"/>
        <v>0</v>
      </c>
      <c r="C143" s="67"/>
      <c r="D143" s="72">
        <f t="shared" si="11"/>
        <v>0</v>
      </c>
      <c r="E143" s="67">
        <f>'MH Underwriting'!L$231</f>
        <v>0</v>
      </c>
      <c r="F143" s="67" t="e">
        <f ca="1">H117</f>
        <v>#VALUE!</v>
      </c>
      <c r="G143" s="71">
        <f t="shared" si="10"/>
        <v>0.22</v>
      </c>
      <c r="H143" s="67" t="e">
        <f t="shared" ca="1" si="7"/>
        <v>#VALUE!</v>
      </c>
      <c r="I143" s="66" t="e">
        <f t="shared" ca="1" si="8"/>
        <v>#VALUE!</v>
      </c>
    </row>
    <row r="144" spans="1:11" x14ac:dyDescent="0.2">
      <c r="A144" s="73">
        <f t="shared" ca="1" si="9"/>
        <v>48393</v>
      </c>
      <c r="B144" s="67">
        <f t="shared" si="6"/>
        <v>0</v>
      </c>
      <c r="C144" s="67"/>
      <c r="D144" s="72">
        <f t="shared" si="11"/>
        <v>0</v>
      </c>
      <c r="E144" s="67">
        <f ca="1">'MH Underwriting'!M$231</f>
        <v>0</v>
      </c>
      <c r="F144" s="67" t="e">
        <f ca="1">I117</f>
        <v>#VALUE!</v>
      </c>
      <c r="G144" s="71">
        <f t="shared" si="10"/>
        <v>0.22</v>
      </c>
      <c r="H144" s="67" t="e">
        <f t="shared" ca="1" si="7"/>
        <v>#VALUE!</v>
      </c>
      <c r="I144" s="66" t="e">
        <f t="shared" ca="1" si="8"/>
        <v>#VALUE!</v>
      </c>
    </row>
    <row r="145" spans="1:9" x14ac:dyDescent="0.2">
      <c r="A145" s="73">
        <f t="shared" ca="1" si="9"/>
        <v>48758</v>
      </c>
      <c r="B145" s="67">
        <f t="shared" si="6"/>
        <v>0</v>
      </c>
      <c r="C145" s="67"/>
      <c r="D145" s="72">
        <f t="shared" si="11"/>
        <v>0</v>
      </c>
      <c r="E145" s="67">
        <f ca="1">'MH Underwriting'!P$231</f>
        <v>0</v>
      </c>
      <c r="F145" s="67" t="e">
        <f ca="1">J117</f>
        <v>#VALUE!</v>
      </c>
      <c r="G145" s="71">
        <f t="shared" si="10"/>
        <v>0.22</v>
      </c>
      <c r="H145" s="67" t="e">
        <f t="shared" ca="1" si="7"/>
        <v>#VALUE!</v>
      </c>
      <c r="I145" s="66" t="e">
        <f t="shared" ca="1" si="8"/>
        <v>#VALUE!</v>
      </c>
    </row>
    <row r="146" spans="1:9" x14ac:dyDescent="0.2">
      <c r="A146" s="73">
        <f t="shared" ca="1" si="9"/>
        <v>49123</v>
      </c>
      <c r="B146" s="67"/>
      <c r="C146" s="67"/>
      <c r="D146" s="72">
        <f t="shared" si="11"/>
        <v>0</v>
      </c>
      <c r="E146" s="67">
        <f ca="1">'MH Underwriting'!Q$231</f>
        <v>0</v>
      </c>
      <c r="F146" s="67" t="e">
        <f ca="1">K117</f>
        <v>#VALUE!</v>
      </c>
      <c r="G146" s="71">
        <f t="shared" si="10"/>
        <v>0.22</v>
      </c>
      <c r="H146" s="67" t="e">
        <f t="shared" ca="1" si="7"/>
        <v>#VALUE!</v>
      </c>
      <c r="I146" s="66" t="e">
        <f t="shared" ca="1" si="8"/>
        <v>#VALUE!</v>
      </c>
    </row>
    <row r="147" spans="1:9" x14ac:dyDescent="0.2">
      <c r="A147" s="73">
        <f t="shared" ca="1" si="9"/>
        <v>49488</v>
      </c>
      <c r="B147" s="67"/>
      <c r="C147" s="67"/>
      <c r="D147" s="72">
        <f t="shared" si="11"/>
        <v>0</v>
      </c>
      <c r="E147" s="67">
        <f ca="1">'MH Underwriting'!R$231</f>
        <v>0</v>
      </c>
      <c r="F147" s="67" t="e">
        <f ca="1">D128</f>
        <v>#VALUE!</v>
      </c>
      <c r="G147" s="71">
        <f t="shared" si="10"/>
        <v>0.22</v>
      </c>
      <c r="H147" s="67" t="e">
        <f t="shared" ca="1" si="7"/>
        <v>#VALUE!</v>
      </c>
      <c r="I147" s="66" t="e">
        <f t="shared" ca="1" si="8"/>
        <v>#VALUE!</v>
      </c>
    </row>
    <row r="148" spans="1:9" x14ac:dyDescent="0.2">
      <c r="A148" s="73">
        <f t="shared" ca="1" si="9"/>
        <v>49853</v>
      </c>
      <c r="B148" s="67"/>
      <c r="C148" s="67"/>
      <c r="D148" s="72">
        <f t="shared" si="11"/>
        <v>0</v>
      </c>
      <c r="E148" s="67">
        <f ca="1">'MH Underwriting'!S$231</f>
        <v>0</v>
      </c>
      <c r="F148" s="67" t="e">
        <f ca="1">E128</f>
        <v>#VALUE!</v>
      </c>
      <c r="G148" s="71">
        <f t="shared" si="10"/>
        <v>0.22</v>
      </c>
      <c r="H148" s="67" t="e">
        <f t="shared" ca="1" si="7"/>
        <v>#VALUE!</v>
      </c>
      <c r="I148" s="66" t="e">
        <f t="shared" ca="1" si="8"/>
        <v>#VALUE!</v>
      </c>
    </row>
    <row r="149" spans="1:9" x14ac:dyDescent="0.2">
      <c r="A149" s="73">
        <f t="shared" ca="1" si="9"/>
        <v>50218</v>
      </c>
      <c r="B149" s="67"/>
      <c r="C149" s="67"/>
      <c r="D149" s="72">
        <f ca="1">I23*((12-'MH Underwriting'!G215)/12)</f>
        <v>0</v>
      </c>
      <c r="E149" s="67">
        <f ca="1">'MH Underwriting'!T$231</f>
        <v>0</v>
      </c>
      <c r="F149" s="67" t="e">
        <f ca="1">F128</f>
        <v>#VALUE!</v>
      </c>
      <c r="G149" s="71">
        <f t="shared" si="10"/>
        <v>0.22</v>
      </c>
      <c r="H149" s="67" t="e">
        <f t="shared" ca="1" si="7"/>
        <v>#VALUE!</v>
      </c>
      <c r="I149" s="66" t="e">
        <f t="shared" ca="1" si="8"/>
        <v>#VALUE!</v>
      </c>
    </row>
    <row r="150" spans="1:9" x14ac:dyDescent="0.2">
      <c r="A150" s="73">
        <f t="shared" ca="1" si="9"/>
        <v>50583</v>
      </c>
      <c r="B150" s="67"/>
      <c r="C150" s="67"/>
      <c r="D150" s="72">
        <v>0</v>
      </c>
      <c r="E150" s="67">
        <f ca="1">'MH Underwriting'!H$272</f>
        <v>0</v>
      </c>
      <c r="F150" s="67" t="e">
        <f ca="1">G128</f>
        <v>#VALUE!</v>
      </c>
      <c r="G150" s="71">
        <f t="shared" si="10"/>
        <v>0.22</v>
      </c>
      <c r="H150" s="67" t="e">
        <f t="shared" ca="1" si="7"/>
        <v>#VALUE!</v>
      </c>
      <c r="I150" s="66" t="e">
        <f ca="1">D149+E150+H150-B150</f>
        <v>#VALUE!</v>
      </c>
    </row>
    <row r="151" spans="1:9" x14ac:dyDescent="0.2">
      <c r="A151" s="73">
        <f t="shared" ca="1" si="9"/>
        <v>50948</v>
      </c>
      <c r="B151" s="67"/>
      <c r="C151" s="67"/>
      <c r="D151" s="72">
        <v>0</v>
      </c>
      <c r="E151" s="67">
        <f ca="1">'MH Underwriting'!I$272</f>
        <v>0</v>
      </c>
      <c r="F151" s="67" t="e">
        <f ca="1">H128</f>
        <v>#VALUE!</v>
      </c>
      <c r="G151" s="71">
        <f t="shared" si="10"/>
        <v>0.22</v>
      </c>
      <c r="H151" s="67" t="e">
        <f t="shared" ca="1" si="7"/>
        <v>#VALUE!</v>
      </c>
      <c r="I151" s="66" t="e">
        <f ca="1">D150+E151+H151-B151</f>
        <v>#VALUE!</v>
      </c>
    </row>
    <row r="152" spans="1:9" x14ac:dyDescent="0.2">
      <c r="A152" s="73">
        <f t="shared" ca="1" si="9"/>
        <v>51313</v>
      </c>
      <c r="B152" s="67"/>
      <c r="C152" s="67"/>
      <c r="D152" s="72">
        <v>0</v>
      </c>
      <c r="E152" s="67">
        <f ca="1">'MH Underwriting'!J$272</f>
        <v>0</v>
      </c>
      <c r="F152" s="67" t="e">
        <f ca="1">I128</f>
        <v>#VALUE!</v>
      </c>
      <c r="G152" s="71">
        <f t="shared" si="10"/>
        <v>0.22</v>
      </c>
      <c r="H152" s="67" t="e">
        <f t="shared" ca="1" si="7"/>
        <v>#VALUE!</v>
      </c>
      <c r="I152" s="66" t="e">
        <f ca="1">D151+E152+H152-B152</f>
        <v>#VALUE!</v>
      </c>
    </row>
    <row r="153" spans="1:9" x14ac:dyDescent="0.2">
      <c r="A153" s="73">
        <f t="shared" ca="1" si="9"/>
        <v>51678</v>
      </c>
      <c r="B153" s="67"/>
      <c r="C153" s="67"/>
      <c r="D153" s="72">
        <v>0</v>
      </c>
      <c r="E153" s="67">
        <f ca="1">'MH Underwriting'!K$272</f>
        <v>0</v>
      </c>
      <c r="F153" s="67" t="e">
        <f ca="1">J128</f>
        <v>#VALUE!</v>
      </c>
      <c r="G153" s="71">
        <f t="shared" si="10"/>
        <v>0.22</v>
      </c>
      <c r="H153" s="67" t="e">
        <f t="shared" ca="1" si="7"/>
        <v>#VALUE!</v>
      </c>
      <c r="I153" s="66" t="e">
        <f ca="1">D152+E153+H153-B153</f>
        <v>#VALUE!</v>
      </c>
    </row>
    <row r="154" spans="1:9" x14ac:dyDescent="0.2">
      <c r="A154" s="73">
        <f t="shared" ca="1" si="9"/>
        <v>52043</v>
      </c>
      <c r="B154" s="67"/>
      <c r="C154" s="67"/>
      <c r="D154" s="72">
        <v>0</v>
      </c>
      <c r="E154" s="67">
        <f ca="1">'MH Underwriting'!L$272</f>
        <v>0</v>
      </c>
      <c r="F154" s="67" t="e">
        <f ca="1">K128</f>
        <v>#VALUE!</v>
      </c>
      <c r="G154" s="71">
        <f t="shared" si="10"/>
        <v>0.22</v>
      </c>
      <c r="H154" s="67" t="e">
        <f t="shared" ca="1" si="7"/>
        <v>#VALUE!</v>
      </c>
      <c r="I154" s="66" t="e">
        <f ca="1">D153+E154+H154-B154</f>
        <v>#VALUE!</v>
      </c>
    </row>
    <row r="155" spans="1:9" x14ac:dyDescent="0.2">
      <c r="A155" s="70" t="s">
        <v>384</v>
      </c>
      <c r="B155" s="69">
        <f>SUM(B138:B148)</f>
        <v>0</v>
      </c>
      <c r="C155" s="69"/>
      <c r="D155" s="68">
        <f ca="1">SUM(D138:D154)</f>
        <v>0</v>
      </c>
      <c r="H155" s="67"/>
      <c r="I155" s="66" t="e">
        <f ca="1">SUM(I138:I154)</f>
        <v>#VALUE!</v>
      </c>
    </row>
    <row r="156" spans="1:9" x14ac:dyDescent="0.2">
      <c r="A156" s="65"/>
      <c r="D156" s="65"/>
      <c r="H156" s="67"/>
      <c r="I156" s="66"/>
    </row>
    <row r="157" spans="1:9" x14ac:dyDescent="0.2">
      <c r="A157" s="65"/>
      <c r="D157" s="65"/>
      <c r="I157" s="64"/>
    </row>
    <row r="158" spans="1:9" x14ac:dyDescent="0.2">
      <c r="A158" s="63"/>
      <c r="B158" s="62"/>
      <c r="C158" s="62"/>
      <c r="D158" s="63"/>
      <c r="E158" s="62" t="s">
        <v>383</v>
      </c>
      <c r="F158" s="62"/>
      <c r="G158" s="62"/>
      <c r="H158" s="62"/>
      <c r="I158" s="61">
        <f>IF(B155=0,0,IRR(I138:I154))</f>
        <v>0</v>
      </c>
    </row>
  </sheetData>
  <sheetProtection selectLockedCells="1"/>
  <mergeCells count="15">
    <mergeCell ref="A30:E30"/>
    <mergeCell ref="G29:L29"/>
    <mergeCell ref="J32:K32"/>
    <mergeCell ref="J42:K42"/>
    <mergeCell ref="H31:I31"/>
    <mergeCell ref="H32:I32"/>
    <mergeCell ref="H34:I35"/>
    <mergeCell ref="H36:I37"/>
    <mergeCell ref="H38:I39"/>
    <mergeCell ref="H40:I41"/>
    <mergeCell ref="H42:I43"/>
    <mergeCell ref="J34:K34"/>
    <mergeCell ref="J36:K36"/>
    <mergeCell ref="J38:K38"/>
    <mergeCell ref="J40:K40"/>
  </mergeCells>
  <printOptions horizontalCentered="1"/>
  <pageMargins left="0.75" right="0.75" top="0.25" bottom="0.25" header="0.5" footer="0.5"/>
  <pageSetup scale="91" orientation="landscape" horizontalDpi="4294967292" r:id="rId1"/>
  <headerFooter alignWithMargins="0"/>
  <rowBreaks count="2" manualBreakCount="2">
    <brk id="50" max="16383" man="1"/>
    <brk id="107" max="16383" man="1"/>
  </rowBreaks>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0">
    <pageSetUpPr fitToPage="1"/>
  </sheetPr>
  <dimension ref="A1:J75"/>
  <sheetViews>
    <sheetView view="pageBreakPreview" zoomScaleNormal="100" zoomScaleSheetLayoutView="100" workbookViewId="0">
      <selection activeCell="G43" sqref="G43:I44"/>
    </sheetView>
  </sheetViews>
  <sheetFormatPr defaultColWidth="9.109375" defaultRowHeight="13.2" x14ac:dyDescent="0.25"/>
  <cols>
    <col min="1" max="3" width="12.6640625" style="132" customWidth="1"/>
    <col min="4" max="4" width="11.6640625" style="132" customWidth="1"/>
    <col min="5" max="6" width="12.6640625" style="132" customWidth="1"/>
    <col min="7" max="7" width="11.6640625" style="132" customWidth="1"/>
    <col min="8" max="8" width="16.88671875" style="132" customWidth="1"/>
    <col min="9" max="10" width="12.6640625" style="132" customWidth="1"/>
    <col min="11" max="16384" width="9.109375" style="132"/>
  </cols>
  <sheetData>
    <row r="1" spans="1:10" x14ac:dyDescent="0.25">
      <c r="C1" s="228" t="s">
        <v>539</v>
      </c>
    </row>
    <row r="3" spans="1:10" ht="13.8" thickBot="1" x14ac:dyDescent="0.3">
      <c r="C3" s="132" t="s">
        <v>1805</v>
      </c>
      <c r="D3" s="168"/>
      <c r="E3" s="168"/>
      <c r="H3" s="227"/>
      <c r="I3" s="164"/>
    </row>
    <row r="4" spans="1:10" ht="13.8" thickBot="1" x14ac:dyDescent="0.3">
      <c r="C4" s="226">
        <v>3.7900000000000003E-2</v>
      </c>
      <c r="D4" s="147"/>
      <c r="E4" s="147"/>
      <c r="F4" s="225">
        <v>45550</v>
      </c>
      <c r="G4" s="224"/>
      <c r="H4" s="223"/>
    </row>
    <row r="5" spans="1:10" x14ac:dyDescent="0.25">
      <c r="C5" s="146"/>
      <c r="D5" s="147"/>
      <c r="E5" s="147"/>
      <c r="F5" s="159"/>
      <c r="G5" s="159"/>
      <c r="H5" s="146"/>
    </row>
    <row r="6" spans="1:10" x14ac:dyDescent="0.25">
      <c r="B6" s="146"/>
      <c r="C6" s="147"/>
      <c r="D6" s="147"/>
      <c r="E6" s="159"/>
      <c r="F6" s="159"/>
      <c r="G6" s="159"/>
      <c r="H6" s="146"/>
    </row>
    <row r="7" spans="1:10" x14ac:dyDescent="0.25">
      <c r="A7" s="221"/>
      <c r="B7" s="220" t="s">
        <v>500</v>
      </c>
      <c r="C7" s="222" t="str">
        <f>'MH Underwriting'!E1</f>
        <v>Project Name</v>
      </c>
      <c r="D7" s="161"/>
      <c r="E7" s="159"/>
      <c r="F7" s="159"/>
      <c r="G7" s="159"/>
      <c r="H7" s="146"/>
    </row>
    <row r="8" spans="1:10" x14ac:dyDescent="0.25">
      <c r="A8" s="221"/>
      <c r="B8" s="220"/>
      <c r="C8" s="161"/>
      <c r="D8" s="161"/>
      <c r="E8" s="159"/>
      <c r="F8" s="159"/>
      <c r="G8" s="159"/>
      <c r="H8" s="146"/>
    </row>
    <row r="9" spans="1:10" ht="13.8" thickBot="1" x14ac:dyDescent="0.3"/>
    <row r="10" spans="1:10" ht="13.8" thickBot="1" x14ac:dyDescent="0.3">
      <c r="A10" s="142"/>
      <c r="B10" s="141"/>
      <c r="C10" s="140"/>
      <c r="E10" s="215" t="s">
        <v>538</v>
      </c>
      <c r="F10" s="214"/>
    </row>
    <row r="11" spans="1:10" x14ac:dyDescent="0.25">
      <c r="A11" s="139" t="s">
        <v>537</v>
      </c>
      <c r="C11" s="136"/>
      <c r="E11" s="211" t="s">
        <v>528</v>
      </c>
      <c r="F11" s="199">
        <f>IF(C16&lt;5,0,ROUNDUP(H31*0.2,0))</f>
        <v>0</v>
      </c>
      <c r="G11" s="219"/>
      <c r="H11" s="142" t="s">
        <v>536</v>
      </c>
      <c r="I11" s="140"/>
    </row>
    <row r="12" spans="1:10" ht="13.8" thickBot="1" x14ac:dyDescent="0.3">
      <c r="A12" s="139" t="s">
        <v>535</v>
      </c>
      <c r="C12" s="218">
        <f>IF(C15=0,0,ROUNDUP(I17/(C18*C15)*C15,0))</f>
        <v>0</v>
      </c>
      <c r="D12" s="217"/>
      <c r="E12" s="211" t="s">
        <v>526</v>
      </c>
      <c r="F12" s="207">
        <f>H31-F11</f>
        <v>0</v>
      </c>
      <c r="G12" s="146"/>
      <c r="H12" s="213" t="s">
        <v>534</v>
      </c>
      <c r="I12" s="212">
        <f>'MH Underwriting'!I126</f>
        <v>0</v>
      </c>
      <c r="J12" s="216"/>
    </row>
    <row r="13" spans="1:10" x14ac:dyDescent="0.25">
      <c r="A13" s="139"/>
      <c r="C13" s="136"/>
      <c r="E13" s="215" t="s">
        <v>533</v>
      </c>
      <c r="F13" s="214"/>
      <c r="G13" s="146"/>
      <c r="H13" s="213" t="s">
        <v>532</v>
      </c>
      <c r="I13" s="212">
        <f>'MH Underwriting'!I136</f>
        <v>0</v>
      </c>
    </row>
    <row r="14" spans="1:10" ht="13.8" thickBot="1" x14ac:dyDescent="0.3">
      <c r="A14" s="135"/>
      <c r="B14" s="134"/>
      <c r="C14" s="133"/>
      <c r="E14" s="211" t="s">
        <v>528</v>
      </c>
      <c r="F14" s="199"/>
      <c r="H14" s="213"/>
      <c r="I14" s="212">
        <v>0</v>
      </c>
    </row>
    <row r="15" spans="1:10" ht="13.8" thickBot="1" x14ac:dyDescent="0.3">
      <c r="A15" s="1795" t="s">
        <v>531</v>
      </c>
      <c r="B15" s="1796"/>
      <c r="C15" s="201">
        <f>'MH Underwriting'!G5</f>
        <v>0</v>
      </c>
      <c r="D15" s="146"/>
      <c r="E15" s="187" t="s">
        <v>526</v>
      </c>
      <c r="F15" s="207"/>
      <c r="H15" s="213"/>
      <c r="I15" s="212">
        <v>0</v>
      </c>
    </row>
    <row r="16" spans="1:10" x14ac:dyDescent="0.25">
      <c r="A16" s="1797" t="s">
        <v>530</v>
      </c>
      <c r="B16" s="1798"/>
      <c r="C16" s="199">
        <f>SUM(H25:H29)</f>
        <v>0</v>
      </c>
      <c r="D16" s="146"/>
      <c r="E16" s="215" t="s">
        <v>529</v>
      </c>
      <c r="F16" s="214"/>
      <c r="H16" s="213"/>
      <c r="I16" s="212"/>
    </row>
    <row r="17" spans="1:10" ht="13.8" thickBot="1" x14ac:dyDescent="0.3">
      <c r="A17" s="211"/>
      <c r="C17" s="136"/>
      <c r="E17" s="211" t="s">
        <v>528</v>
      </c>
      <c r="F17" s="199">
        <f>IF(F15=0,0,F11-F14)</f>
        <v>0</v>
      </c>
      <c r="H17" s="210" t="s">
        <v>278</v>
      </c>
      <c r="I17" s="209">
        <f>SUM(I12:I15)</f>
        <v>0</v>
      </c>
    </row>
    <row r="18" spans="1:10" ht="13.8" thickBot="1" x14ac:dyDescent="0.3">
      <c r="A18" s="1799" t="s">
        <v>527</v>
      </c>
      <c r="B18" s="1800"/>
      <c r="C18" s="209">
        <f>'MH Underwriting'!J68</f>
        <v>0</v>
      </c>
      <c r="D18" s="208"/>
      <c r="E18" s="187" t="s">
        <v>526</v>
      </c>
      <c r="F18" s="207">
        <f>IF(F15=0,0,F12-F15)</f>
        <v>0</v>
      </c>
    </row>
    <row r="19" spans="1:10" x14ac:dyDescent="0.25">
      <c r="B19" s="146"/>
      <c r="C19" s="203"/>
      <c r="D19" s="203"/>
      <c r="E19" s="191"/>
      <c r="F19" s="191"/>
      <c r="G19" s="191"/>
      <c r="H19" s="132" t="s">
        <v>525</v>
      </c>
      <c r="I19" s="206">
        <f>IF(C16=0,0,I17/C16)</f>
        <v>0</v>
      </c>
    </row>
    <row r="20" spans="1:10" x14ac:dyDescent="0.25">
      <c r="B20" s="146"/>
      <c r="C20" s="203"/>
      <c r="D20" s="203"/>
      <c r="E20" s="191"/>
      <c r="F20" s="191"/>
      <c r="G20" s="191"/>
      <c r="I20" s="181"/>
    </row>
    <row r="21" spans="1:10" ht="13.8" thickBot="1" x14ac:dyDescent="0.3">
      <c r="B21" s="146"/>
      <c r="C21" s="205"/>
      <c r="D21" s="205"/>
      <c r="E21" s="191"/>
      <c r="F21" s="191"/>
      <c r="G21" s="191"/>
      <c r="I21" s="181"/>
      <c r="J21" s="146"/>
    </row>
    <row r="22" spans="1:10" x14ac:dyDescent="0.25">
      <c r="C22" s="204">
        <v>2016</v>
      </c>
      <c r="D22" s="203"/>
      <c r="E22" s="202" t="s">
        <v>524</v>
      </c>
      <c r="F22" s="201" t="s">
        <v>523</v>
      </c>
      <c r="H22" s="146" t="s">
        <v>522</v>
      </c>
    </row>
    <row r="23" spans="1:10" ht="13.8" thickBot="1" x14ac:dyDescent="0.3">
      <c r="B23" s="132" t="s">
        <v>521</v>
      </c>
      <c r="C23" s="146" t="s">
        <v>696</v>
      </c>
      <c r="D23" s="146"/>
      <c r="E23" s="200" t="s">
        <v>520</v>
      </c>
      <c r="F23" s="199" t="s">
        <v>516</v>
      </c>
      <c r="I23" s="181"/>
    </row>
    <row r="24" spans="1:10" ht="13.8" thickBot="1" x14ac:dyDescent="0.3">
      <c r="C24" s="146"/>
      <c r="D24" s="146"/>
      <c r="E24" s="198"/>
      <c r="F24" s="136"/>
      <c r="H24" s="146"/>
      <c r="I24" s="181"/>
      <c r="J24" s="197" t="s">
        <v>519</v>
      </c>
    </row>
    <row r="25" spans="1:10" x14ac:dyDescent="0.25">
      <c r="A25" s="146" t="s">
        <v>518</v>
      </c>
      <c r="B25" s="196" t="str">
        <f>'MH Underwriting'!D157</f>
        <v/>
      </c>
      <c r="C25" s="191">
        <v>140107</v>
      </c>
      <c r="D25" s="191"/>
      <c r="E25" s="190">
        <f>IF(C$15=0,0,C$12*(B25/C$15))</f>
        <v>0</v>
      </c>
      <c r="F25" s="189">
        <f>IF(E$31=0,0,IF($I$17/C$12&lt;C25,$I$17/C$12*E25,C25*E25))</f>
        <v>0</v>
      </c>
      <c r="H25" s="195">
        <v>0</v>
      </c>
      <c r="I25" s="181"/>
      <c r="J25" s="194" t="s">
        <v>517</v>
      </c>
    </row>
    <row r="26" spans="1:10" ht="13.8" thickBot="1" x14ac:dyDescent="0.3">
      <c r="A26" s="146" t="s">
        <v>42</v>
      </c>
      <c r="B26" s="193" t="str">
        <f>'MH Underwriting'!D162</f>
        <v/>
      </c>
      <c r="C26" s="191">
        <v>160615</v>
      </c>
      <c r="D26" s="191"/>
      <c r="E26" s="190">
        <f>IF(C$15=0,0,C$12*(B26/C$15))</f>
        <v>0</v>
      </c>
      <c r="F26" s="189">
        <f>IF(E$31=0,0,IF($I$17/C$12&lt;C26,$I$17/C$12*E26,C26*E26))</f>
        <v>0</v>
      </c>
      <c r="H26" s="192">
        <v>0</v>
      </c>
      <c r="I26" s="181"/>
      <c r="J26" s="183" t="s">
        <v>516</v>
      </c>
    </row>
    <row r="27" spans="1:10" ht="13.8" thickBot="1" x14ac:dyDescent="0.3">
      <c r="A27" s="146" t="s">
        <v>43</v>
      </c>
      <c r="B27" s="193" t="str">
        <f>'MH Underwriting'!D167</f>
        <v/>
      </c>
      <c r="C27" s="191">
        <v>195304</v>
      </c>
      <c r="D27" s="191"/>
      <c r="E27" s="190">
        <f>IF(C$15=0,0,C$12*(B27/C$15))</f>
        <v>0</v>
      </c>
      <c r="F27" s="189">
        <f>IF(E$31=0,0,IF($I$17/C$12&lt;C27,$I$17/C$12*E27,C27*E27))</f>
        <v>0</v>
      </c>
      <c r="H27" s="192">
        <v>0</v>
      </c>
      <c r="I27" s="181"/>
      <c r="J27" s="184">
        <f>IF(H25*C25+H26*C26+H27*C27+H28*C28+H29*C29&lt;I17,H25*C25+H26*C26+H27*C27+H28*C28+H29*C29,I17)</f>
        <v>0</v>
      </c>
    </row>
    <row r="28" spans="1:10" x14ac:dyDescent="0.25">
      <c r="A28" s="146" t="s">
        <v>44</v>
      </c>
      <c r="B28" s="193" t="str">
        <f>'MH Underwriting'!D172</f>
        <v/>
      </c>
      <c r="C28" s="191">
        <v>252662</v>
      </c>
      <c r="D28" s="191"/>
      <c r="E28" s="190">
        <f>IF(C$15=0,0,C$12*(B28/C$15))</f>
        <v>0</v>
      </c>
      <c r="F28" s="189">
        <f>IF(E$31=0,0,IF($I$17/C$12&lt;C28,$I$17/C$12*E28,C28*E28))</f>
        <v>0</v>
      </c>
      <c r="H28" s="192">
        <v>0</v>
      </c>
      <c r="I28" s="181"/>
      <c r="J28" s="181"/>
    </row>
    <row r="29" spans="1:10" ht="13.8" thickBot="1" x14ac:dyDescent="0.3">
      <c r="A29" s="146" t="s">
        <v>67</v>
      </c>
      <c r="B29" s="188" t="str">
        <f>'MH Underwriting'!D177</f>
        <v/>
      </c>
      <c r="C29" s="191">
        <v>277344</v>
      </c>
      <c r="D29" s="191"/>
      <c r="E29" s="190">
        <f>IF(C$15=0,0,C$12*(B29/C$15))</f>
        <v>0</v>
      </c>
      <c r="F29" s="189">
        <f>IF(E$31=0,0,IF($I$17/C$12&lt;C29,$I$17/C$12*E29,C29*E29))</f>
        <v>0</v>
      </c>
      <c r="H29" s="188">
        <v>0</v>
      </c>
      <c r="I29" s="181"/>
      <c r="J29" s="181"/>
    </row>
    <row r="30" spans="1:10" ht="13.8" thickBot="1" x14ac:dyDescent="0.3">
      <c r="B30" s="146"/>
      <c r="E30" s="139"/>
      <c r="F30" s="136"/>
      <c r="I30" s="181"/>
    </row>
    <row r="31" spans="1:10" ht="13.8" thickBot="1" x14ac:dyDescent="0.3">
      <c r="A31" s="132" t="s">
        <v>466</v>
      </c>
      <c r="B31" s="146">
        <f>SUM(B25:B30)</f>
        <v>0</v>
      </c>
      <c r="C31" s="146"/>
      <c r="D31" s="146"/>
      <c r="E31" s="187">
        <f>SUM(E25:E30)</f>
        <v>0</v>
      </c>
      <c r="F31" s="186">
        <f>SUM(F25:F30)</f>
        <v>0</v>
      </c>
      <c r="G31" s="181"/>
      <c r="H31" s="185">
        <f>SUM(H25:H30)</f>
        <v>0</v>
      </c>
      <c r="I31" s="181"/>
      <c r="J31" s="184">
        <f>C18*H31-J27</f>
        <v>0</v>
      </c>
    </row>
    <row r="32" spans="1:10" x14ac:dyDescent="0.25">
      <c r="J32" s="183" t="s">
        <v>515</v>
      </c>
    </row>
    <row r="33" spans="1:10" ht="13.8" thickBot="1" x14ac:dyDescent="0.3">
      <c r="J33" s="182" t="s">
        <v>514</v>
      </c>
    </row>
    <row r="34" spans="1:10" x14ac:dyDescent="0.25">
      <c r="I34" s="181"/>
    </row>
    <row r="35" spans="1:10" hidden="1" x14ac:dyDescent="0.25"/>
    <row r="36" spans="1:10" s="163" customFormat="1" hidden="1" x14ac:dyDescent="0.25">
      <c r="B36" s="180" t="s">
        <v>508</v>
      </c>
      <c r="C36" s="180" t="s">
        <v>507</v>
      </c>
      <c r="D36" s="180"/>
      <c r="E36" s="180" t="s">
        <v>506</v>
      </c>
      <c r="F36" s="180"/>
      <c r="G36" s="180"/>
      <c r="H36" s="180" t="s">
        <v>462</v>
      </c>
      <c r="I36" s="180"/>
    </row>
    <row r="37" spans="1:10" s="163" customFormat="1" hidden="1" x14ac:dyDescent="0.25">
      <c r="A37" s="179"/>
      <c r="B37" s="178">
        <v>100000</v>
      </c>
      <c r="C37" s="177">
        <v>9.5000000000000001E-2</v>
      </c>
      <c r="D37" s="177"/>
      <c r="E37" s="176">
        <v>15</v>
      </c>
      <c r="F37" s="176"/>
      <c r="G37" s="176"/>
      <c r="H37" s="175">
        <f>FV(C37,E37,0,-B37,0)</f>
        <v>390132.191795994</v>
      </c>
      <c r="I37" s="174"/>
      <c r="J37" s="164">
        <f>B37*(1+C37)^E37</f>
        <v>390132.191795994</v>
      </c>
    </row>
    <row r="38" spans="1:10" s="163" customFormat="1" ht="13.8" hidden="1" thickBot="1" x14ac:dyDescent="0.3">
      <c r="A38" s="163" t="s">
        <v>513</v>
      </c>
      <c r="B38" s="173">
        <v>100000</v>
      </c>
      <c r="C38" s="172">
        <v>0</v>
      </c>
      <c r="D38" s="172"/>
      <c r="E38" s="171">
        <v>15</v>
      </c>
      <c r="F38" s="171"/>
      <c r="G38" s="171"/>
      <c r="H38" s="170">
        <f>FV(C38,E38,0,-B38,0)</f>
        <v>100000</v>
      </c>
    </row>
    <row r="39" spans="1:10" s="163" customFormat="1" hidden="1" x14ac:dyDescent="0.25">
      <c r="B39" s="169" t="s">
        <v>512</v>
      </c>
      <c r="C39" s="168"/>
      <c r="D39" s="168"/>
      <c r="E39" s="165"/>
      <c r="F39" s="165"/>
      <c r="G39" s="165"/>
      <c r="H39" s="164">
        <f>H37-H38</f>
        <v>290132.191795994</v>
      </c>
      <c r="I39" s="164"/>
    </row>
    <row r="40" spans="1:10" s="163" customFormat="1" hidden="1" x14ac:dyDescent="0.25">
      <c r="B40" s="167">
        <v>74368</v>
      </c>
      <c r="C40" s="166">
        <v>9.5000000000000001E-2</v>
      </c>
      <c r="D40" s="166"/>
      <c r="E40" s="165">
        <v>15</v>
      </c>
      <c r="F40" s="165"/>
      <c r="G40" s="165"/>
      <c r="H40" s="164">
        <f>FV(C40,E40,0,-B40,0)</f>
        <v>290133.50839484483</v>
      </c>
      <c r="I40" s="164"/>
    </row>
    <row r="41" spans="1:10" hidden="1" x14ac:dyDescent="0.25"/>
    <row r="42" spans="1:10" x14ac:dyDescent="0.25">
      <c r="I42" s="162"/>
    </row>
    <row r="43" spans="1:10" x14ac:dyDescent="0.25">
      <c r="B43" s="161" t="s">
        <v>511</v>
      </c>
    </row>
    <row r="44" spans="1:10" x14ac:dyDescent="0.25">
      <c r="C44" s="146"/>
      <c r="D44" s="147"/>
      <c r="E44" s="147"/>
      <c r="F44" s="159"/>
      <c r="G44" s="159"/>
      <c r="H44" s="146" t="s">
        <v>510</v>
      </c>
    </row>
    <row r="45" spans="1:10" ht="13.8" thickBot="1" x14ac:dyDescent="0.3">
      <c r="C45" s="158" t="s">
        <v>508</v>
      </c>
      <c r="D45" s="157" t="s">
        <v>507</v>
      </c>
      <c r="E45" s="157"/>
      <c r="F45" s="157" t="s">
        <v>506</v>
      </c>
      <c r="G45" s="157" t="s">
        <v>462</v>
      </c>
      <c r="H45" s="157" t="s">
        <v>509</v>
      </c>
    </row>
    <row r="46" spans="1:10" ht="13.8" thickBot="1" x14ac:dyDescent="0.3">
      <c r="C46" s="155">
        <v>0</v>
      </c>
      <c r="D46" s="154">
        <v>0</v>
      </c>
      <c r="E46" s="154"/>
      <c r="F46" s="153">
        <v>30</v>
      </c>
      <c r="G46" s="145">
        <f>FV(D46,F46,0,-C46,0)</f>
        <v>0</v>
      </c>
      <c r="H46" s="160"/>
    </row>
    <row r="47" spans="1:10" x14ac:dyDescent="0.25">
      <c r="C47" s="145">
        <f>C46</f>
        <v>0</v>
      </c>
      <c r="D47" s="151">
        <f>C4+0.03</f>
        <v>6.7900000000000002E-2</v>
      </c>
      <c r="E47" s="151"/>
      <c r="F47" s="146">
        <f>F46</f>
        <v>30</v>
      </c>
      <c r="G47" s="145">
        <f>FV(D47,F47,0,-C47,0)</f>
        <v>0</v>
      </c>
    </row>
    <row r="48" spans="1:10" x14ac:dyDescent="0.25">
      <c r="C48" s="146"/>
      <c r="D48" s="147"/>
      <c r="E48" s="147"/>
      <c r="F48" s="146"/>
      <c r="G48" s="145">
        <f>G47-G46</f>
        <v>0</v>
      </c>
      <c r="H48" s="144">
        <f>G48/POWER((1+D47),F47)</f>
        <v>0</v>
      </c>
    </row>
    <row r="49" spans="3:8" x14ac:dyDescent="0.25">
      <c r="C49" s="146"/>
      <c r="D49" s="147"/>
      <c r="E49" s="147"/>
      <c r="F49" s="146"/>
      <c r="G49" s="146"/>
      <c r="H49" s="150"/>
    </row>
    <row r="50" spans="3:8" x14ac:dyDescent="0.25">
      <c r="C50" s="146"/>
      <c r="D50" s="147"/>
      <c r="E50" s="147"/>
      <c r="F50" s="159"/>
      <c r="G50" s="146"/>
      <c r="H50" s="150"/>
    </row>
    <row r="51" spans="3:8" ht="13.8" thickBot="1" x14ac:dyDescent="0.3">
      <c r="C51" s="158" t="s">
        <v>508</v>
      </c>
      <c r="D51" s="157" t="s">
        <v>507</v>
      </c>
      <c r="E51" s="157"/>
      <c r="F51" s="157" t="s">
        <v>506</v>
      </c>
      <c r="G51" s="157" t="s">
        <v>462</v>
      </c>
      <c r="H51" s="156"/>
    </row>
    <row r="52" spans="3:8" ht="13.8" thickBot="1" x14ac:dyDescent="0.3">
      <c r="C52" s="155"/>
      <c r="D52" s="154">
        <v>0</v>
      </c>
      <c r="E52" s="154"/>
      <c r="F52" s="153">
        <v>30</v>
      </c>
      <c r="G52" s="145">
        <f>FV(D52,F52,0,-C52,0)</f>
        <v>0</v>
      </c>
      <c r="H52" s="152"/>
    </row>
    <row r="53" spans="3:8" x14ac:dyDescent="0.25">
      <c r="C53" s="145">
        <f>C52</f>
        <v>0</v>
      </c>
      <c r="D53" s="151">
        <f>B12+0.03</f>
        <v>0.03</v>
      </c>
      <c r="E53" s="151"/>
      <c r="F53" s="146">
        <f>F52</f>
        <v>30</v>
      </c>
      <c r="G53" s="145">
        <f>FV(D53,F53,0,-C53,0)</f>
        <v>0</v>
      </c>
      <c r="H53" s="150"/>
    </row>
    <row r="54" spans="3:8" x14ac:dyDescent="0.25">
      <c r="C54" s="146"/>
      <c r="D54" s="147"/>
      <c r="E54" s="147"/>
      <c r="F54" s="146"/>
      <c r="G54" s="145">
        <f>G53-G52</f>
        <v>0</v>
      </c>
      <c r="H54" s="144">
        <f>G54/POWER((1+D53),F53)</f>
        <v>0</v>
      </c>
    </row>
    <row r="55" spans="3:8" x14ac:dyDescent="0.25">
      <c r="H55" s="150"/>
    </row>
    <row r="56" spans="3:8" x14ac:dyDescent="0.25">
      <c r="C56" s="146"/>
      <c r="D56" s="147"/>
      <c r="E56" s="147"/>
      <c r="F56" s="159"/>
      <c r="G56" s="146"/>
      <c r="H56" s="150"/>
    </row>
    <row r="57" spans="3:8" ht="13.8" thickBot="1" x14ac:dyDescent="0.3">
      <c r="C57" s="158" t="s">
        <v>508</v>
      </c>
      <c r="D57" s="157" t="s">
        <v>507</v>
      </c>
      <c r="E57" s="157"/>
      <c r="F57" s="157" t="s">
        <v>506</v>
      </c>
      <c r="G57" s="157" t="s">
        <v>462</v>
      </c>
      <c r="H57" s="156"/>
    </row>
    <row r="58" spans="3:8" ht="13.8" thickBot="1" x14ac:dyDescent="0.3">
      <c r="C58" s="155"/>
      <c r="D58" s="154">
        <v>0</v>
      </c>
      <c r="E58" s="154"/>
      <c r="F58" s="153">
        <v>30</v>
      </c>
      <c r="G58" s="145">
        <f>FV(D58,F58,0,-C58,0)</f>
        <v>0</v>
      </c>
      <c r="H58" s="152"/>
    </row>
    <row r="59" spans="3:8" x14ac:dyDescent="0.25">
      <c r="C59" s="145">
        <f>C58</f>
        <v>0</v>
      </c>
      <c r="D59" s="151">
        <f>B16+0.03</f>
        <v>0.03</v>
      </c>
      <c r="E59" s="151"/>
      <c r="F59" s="146">
        <f>F58</f>
        <v>30</v>
      </c>
      <c r="G59" s="145">
        <f>FV(D59,F59,0,-C59,0)</f>
        <v>0</v>
      </c>
      <c r="H59" s="150"/>
    </row>
    <row r="60" spans="3:8" x14ac:dyDescent="0.25">
      <c r="C60" s="146"/>
      <c r="D60" s="147"/>
      <c r="E60" s="147"/>
      <c r="F60" s="146"/>
      <c r="G60" s="145">
        <f>G59-G58</f>
        <v>0</v>
      </c>
      <c r="H60" s="144">
        <f>G60/POWER((1+D59),F59)</f>
        <v>0</v>
      </c>
    </row>
    <row r="61" spans="3:8" x14ac:dyDescent="0.25">
      <c r="C61" s="146"/>
      <c r="D61" s="147"/>
      <c r="E61" s="147"/>
      <c r="F61" s="146"/>
      <c r="G61" s="145"/>
      <c r="H61" s="144"/>
    </row>
    <row r="62" spans="3:8" x14ac:dyDescent="0.25">
      <c r="C62" s="149" t="s">
        <v>505</v>
      </c>
      <c r="D62" s="147"/>
      <c r="E62" s="147"/>
      <c r="F62" s="146"/>
      <c r="G62" s="145"/>
      <c r="H62" s="144"/>
    </row>
    <row r="63" spans="3:8" x14ac:dyDescent="0.25">
      <c r="C63" s="146"/>
      <c r="D63" s="147" t="s">
        <v>504</v>
      </c>
      <c r="E63" s="147"/>
      <c r="F63" s="146"/>
      <c r="G63" s="145"/>
      <c r="H63" s="144">
        <v>0</v>
      </c>
    </row>
    <row r="64" spans="3:8" x14ac:dyDescent="0.25">
      <c r="C64" s="146"/>
      <c r="D64" s="147" t="s">
        <v>503</v>
      </c>
      <c r="E64" s="147"/>
      <c r="F64" s="146"/>
      <c r="G64" s="145"/>
      <c r="H64" s="144">
        <v>0</v>
      </c>
    </row>
    <row r="65" spans="2:10" x14ac:dyDescent="0.25">
      <c r="C65" s="146"/>
      <c r="D65" s="147" t="s">
        <v>226</v>
      </c>
      <c r="E65" s="147"/>
      <c r="F65" s="146"/>
      <c r="G65" s="145"/>
      <c r="H65" s="144">
        <v>0</v>
      </c>
    </row>
    <row r="66" spans="2:10" x14ac:dyDescent="0.25">
      <c r="C66" s="146"/>
      <c r="D66" s="147"/>
      <c r="E66" s="147"/>
      <c r="F66" s="146"/>
      <c r="G66" s="145"/>
      <c r="H66" s="144"/>
    </row>
    <row r="67" spans="2:10" ht="13.8" thickBot="1" x14ac:dyDescent="0.3">
      <c r="C67" s="146"/>
      <c r="D67" s="147"/>
      <c r="E67" s="147"/>
      <c r="F67" s="146"/>
      <c r="G67" s="145"/>
      <c r="H67" s="148"/>
    </row>
    <row r="68" spans="2:10" x14ac:dyDescent="0.25">
      <c r="C68" s="146"/>
      <c r="D68" s="147"/>
      <c r="E68" s="147"/>
      <c r="F68" s="146"/>
      <c r="G68" s="145"/>
      <c r="H68" s="144"/>
    </row>
    <row r="69" spans="2:10" x14ac:dyDescent="0.25">
      <c r="C69" s="146"/>
      <c r="D69" s="147"/>
      <c r="E69" s="147"/>
      <c r="F69" s="146"/>
      <c r="G69" s="145"/>
      <c r="I69" s="144"/>
    </row>
    <row r="71" spans="2:10" x14ac:dyDescent="0.25">
      <c r="B71" s="132" t="s">
        <v>502</v>
      </c>
      <c r="H71" s="143">
        <f>SUM(H48:H68)</f>
        <v>0</v>
      </c>
    </row>
    <row r="72" spans="2:10" ht="13.8" thickBot="1" x14ac:dyDescent="0.3"/>
    <row r="73" spans="2:10" x14ac:dyDescent="0.25">
      <c r="G73" s="142"/>
      <c r="H73" s="141"/>
      <c r="I73" s="141"/>
      <c r="J73" s="140"/>
    </row>
    <row r="74" spans="2:10" x14ac:dyDescent="0.25">
      <c r="G74" s="139"/>
      <c r="H74" s="138" t="s">
        <v>501</v>
      </c>
      <c r="I74" s="137">
        <f>IF(J31&gt;H71,H71,J31)</f>
        <v>0</v>
      </c>
      <c r="J74" s="136"/>
    </row>
    <row r="75" spans="2:10" ht="13.8" thickBot="1" x14ac:dyDescent="0.3">
      <c r="G75" s="135"/>
      <c r="H75" s="134"/>
      <c r="I75" s="134"/>
      <c r="J75" s="133"/>
    </row>
  </sheetData>
  <mergeCells count="3">
    <mergeCell ref="A15:B15"/>
    <mergeCell ref="A16:B16"/>
    <mergeCell ref="A18:B18"/>
  </mergeCells>
  <printOptions horizontalCentered="1"/>
  <pageMargins left="0.25" right="0.25" top="1" bottom="1" header="0.5" footer="0.5"/>
  <pageSetup scale="72" orientation="portrait"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dimension ref="A1:Z493"/>
  <sheetViews>
    <sheetView view="pageBreakPreview" topLeftCell="A2" zoomScaleNormal="100" zoomScaleSheetLayoutView="100" workbookViewId="0">
      <selection activeCell="G43" sqref="G43:I44"/>
    </sheetView>
  </sheetViews>
  <sheetFormatPr defaultColWidth="9.109375" defaultRowHeight="10.199999999999999" x14ac:dyDescent="0.2"/>
  <cols>
    <col min="1" max="1" width="13.109375" style="57" customWidth="1"/>
    <col min="2" max="2" width="10.6640625" style="57" customWidth="1"/>
    <col min="3" max="5" width="9.109375" style="57"/>
    <col min="6" max="6" width="10.6640625" style="97" customWidth="1"/>
    <col min="7" max="7" width="13.109375" style="57" customWidth="1"/>
    <col min="8" max="8" width="10.6640625" style="57" customWidth="1"/>
    <col min="9" max="11" width="9.109375" style="57"/>
    <col min="12" max="12" width="10.6640625" style="97" customWidth="1"/>
    <col min="13" max="13" width="13.109375" style="57" customWidth="1"/>
    <col min="14" max="14" width="10.6640625" style="57" customWidth="1"/>
    <col min="15" max="17" width="9.109375" style="57"/>
    <col min="18" max="18" width="10.6640625" style="97" customWidth="1"/>
    <col min="19" max="19" width="13.109375" style="57" customWidth="1"/>
    <col min="20" max="20" width="10.6640625" style="57" customWidth="1"/>
    <col min="21" max="23" width="9.109375" style="57"/>
    <col min="24" max="24" width="10.6640625" style="97" customWidth="1"/>
    <col min="25" max="16384" width="9.109375" style="57"/>
  </cols>
  <sheetData>
    <row r="1" spans="1:24" x14ac:dyDescent="0.2">
      <c r="A1" s="131" t="s">
        <v>500</v>
      </c>
      <c r="B1" s="60" t="str">
        <f>'MH Underwriting'!E1</f>
        <v>Project Name</v>
      </c>
      <c r="G1" s="131" t="s">
        <v>500</v>
      </c>
      <c r="H1" s="60" t="str">
        <f>'MH Underwriting'!E1</f>
        <v>Project Name</v>
      </c>
      <c r="M1" s="131" t="s">
        <v>500</v>
      </c>
      <c r="N1" s="60" t="str">
        <f>'MH Underwriting'!E1</f>
        <v>Project Name</v>
      </c>
      <c r="S1" s="131" t="s">
        <v>500</v>
      </c>
      <c r="T1" s="60" t="str">
        <f>'MH Underwriting'!E1</f>
        <v>Project Name</v>
      </c>
    </row>
    <row r="2" spans="1:24" x14ac:dyDescent="0.2">
      <c r="A2" s="131" t="s">
        <v>499</v>
      </c>
      <c r="B2" s="60">
        <f>'MH Underwriting'!E2</f>
        <v>0</v>
      </c>
      <c r="G2" s="131" t="s">
        <v>499</v>
      </c>
      <c r="H2" s="60">
        <f>'MH Underwriting'!E2</f>
        <v>0</v>
      </c>
      <c r="M2" s="131" t="s">
        <v>499</v>
      </c>
      <c r="N2" s="60">
        <f>'MH Underwriting'!E2</f>
        <v>0</v>
      </c>
      <c r="S2" s="131" t="s">
        <v>499</v>
      </c>
      <c r="T2" s="60">
        <f>'MH Underwriting'!E2</f>
        <v>0</v>
      </c>
    </row>
    <row r="4" spans="1:24" x14ac:dyDescent="0.2">
      <c r="C4" s="237" t="str">
        <f>'MH Underwriting'!E129</f>
        <v xml:space="preserve">MH Interest Bearing Loan </v>
      </c>
      <c r="D4" s="236"/>
      <c r="E4" s="236"/>
      <c r="F4" s="235"/>
      <c r="I4" s="237" t="str">
        <f>'MH Underwriting'!E132</f>
        <v>AHP Subsidized Advance</v>
      </c>
      <c r="J4" s="236"/>
      <c r="K4" s="236"/>
      <c r="L4" s="235"/>
      <c r="O4" s="237" t="str">
        <f>'MH Underwriting'!E133</f>
        <v>City FEDHOME*</v>
      </c>
      <c r="P4" s="236"/>
      <c r="Q4" s="236"/>
      <c r="R4" s="235"/>
      <c r="U4" s="237" t="str">
        <f>'MH Underwriting'!E136</f>
        <v xml:space="preserve"> </v>
      </c>
      <c r="V4" s="236"/>
      <c r="W4" s="236"/>
      <c r="X4" s="235"/>
    </row>
    <row r="5" spans="1:24" x14ac:dyDescent="0.2">
      <c r="F5" s="57"/>
      <c r="L5" s="57"/>
      <c r="R5" s="57"/>
      <c r="X5" s="57"/>
    </row>
    <row r="6" spans="1:24" x14ac:dyDescent="0.2">
      <c r="A6" s="57" t="s">
        <v>544</v>
      </c>
      <c r="C6" s="67"/>
      <c r="D6" s="97">
        <f>'MH Underwriting'!I129</f>
        <v>0</v>
      </c>
      <c r="E6" s="67"/>
      <c r="G6" s="57" t="s">
        <v>544</v>
      </c>
      <c r="I6" s="67"/>
      <c r="J6" s="97">
        <f>'MH Underwriting'!I132</f>
        <v>0</v>
      </c>
      <c r="K6" s="67"/>
      <c r="M6" s="57" t="s">
        <v>544</v>
      </c>
      <c r="O6" s="67"/>
      <c r="P6" s="97">
        <f>'MH Underwriting'!I133</f>
        <v>0</v>
      </c>
      <c r="Q6" s="67"/>
      <c r="S6" s="57" t="s">
        <v>544</v>
      </c>
      <c r="U6" s="67"/>
      <c r="V6" s="97">
        <f>'MH Underwriting'!I136</f>
        <v>0</v>
      </c>
      <c r="W6" s="67"/>
    </row>
    <row r="7" spans="1:24" x14ac:dyDescent="0.2">
      <c r="A7" s="57" t="s">
        <v>387</v>
      </c>
      <c r="C7" s="233"/>
      <c r="D7" s="234">
        <f>'MH Underwriting'!J129</f>
        <v>0.06</v>
      </c>
      <c r="E7" s="233"/>
      <c r="G7" s="57" t="s">
        <v>387</v>
      </c>
      <c r="I7" s="233"/>
      <c r="J7" s="234">
        <f>'MH Underwriting'!J132</f>
        <v>7.0000000000000007E-2</v>
      </c>
      <c r="K7" s="233"/>
      <c r="M7" s="57" t="s">
        <v>387</v>
      </c>
      <c r="O7" s="233"/>
      <c r="P7" s="234">
        <f>'MH Underwriting'!J133</f>
        <v>0</v>
      </c>
      <c r="Q7" s="233"/>
      <c r="S7" s="57" t="s">
        <v>387</v>
      </c>
      <c r="U7" s="233"/>
      <c r="V7" s="234">
        <f>'MH Underwriting'!J136</f>
        <v>0</v>
      </c>
      <c r="W7" s="233"/>
    </row>
    <row r="8" spans="1:24" x14ac:dyDescent="0.2">
      <c r="A8" s="57" t="s">
        <v>547</v>
      </c>
      <c r="C8" s="232"/>
      <c r="D8" s="97">
        <f>'MH Underwriting'!K129</f>
        <v>30</v>
      </c>
      <c r="E8" s="232"/>
      <c r="G8" s="57" t="s">
        <v>547</v>
      </c>
      <c r="I8" s="232"/>
      <c r="J8" s="97">
        <f>'MH Underwriting'!K132</f>
        <v>30</v>
      </c>
      <c r="K8" s="232"/>
      <c r="M8" s="57" t="s">
        <v>547</v>
      </c>
      <c r="O8" s="232"/>
      <c r="P8" s="97">
        <f>'MH Underwriting'!K133</f>
        <v>30</v>
      </c>
      <c r="Q8" s="232"/>
      <c r="S8" s="57" t="s">
        <v>547</v>
      </c>
      <c r="U8" s="232"/>
      <c r="V8" s="97">
        <f>'MH Underwriting'!K136</f>
        <v>30</v>
      </c>
      <c r="W8" s="232"/>
    </row>
    <row r="9" spans="1:24" x14ac:dyDescent="0.2">
      <c r="C9" s="232"/>
      <c r="D9" s="232"/>
      <c r="E9" s="232"/>
      <c r="I9" s="232"/>
      <c r="J9" s="232"/>
      <c r="K9" s="232"/>
      <c r="O9" s="232"/>
      <c r="P9" s="232"/>
      <c r="Q9" s="232"/>
      <c r="U9" s="232"/>
      <c r="V9" s="232"/>
      <c r="W9" s="232"/>
    </row>
    <row r="10" spans="1:24" x14ac:dyDescent="0.2">
      <c r="C10" s="232"/>
      <c r="D10" s="232"/>
      <c r="E10" s="232"/>
      <c r="I10" s="232"/>
      <c r="J10" s="232"/>
      <c r="K10" s="232"/>
      <c r="O10" s="232"/>
      <c r="P10" s="232"/>
      <c r="Q10" s="232"/>
      <c r="U10" s="232"/>
      <c r="V10" s="232"/>
      <c r="W10" s="232"/>
    </row>
    <row r="11" spans="1:24" x14ac:dyDescent="0.2">
      <c r="C11" s="232"/>
      <c r="D11" s="232"/>
      <c r="E11" s="232"/>
      <c r="F11" s="230" t="s">
        <v>282</v>
      </c>
      <c r="I11" s="232"/>
      <c r="J11" s="232"/>
      <c r="K11" s="232"/>
      <c r="L11" s="230" t="s">
        <v>282</v>
      </c>
      <c r="O11" s="232"/>
      <c r="P11" s="232"/>
      <c r="Q11" s="232"/>
      <c r="R11" s="230" t="s">
        <v>282</v>
      </c>
      <c r="U11" s="232"/>
      <c r="V11" s="232"/>
      <c r="W11" s="232"/>
      <c r="X11" s="230" t="s">
        <v>282</v>
      </c>
    </row>
    <row r="12" spans="1:24" x14ac:dyDescent="0.2">
      <c r="A12" s="80" t="s">
        <v>546</v>
      </c>
      <c r="C12" s="231" t="s">
        <v>545</v>
      </c>
      <c r="D12" s="231" t="s">
        <v>544</v>
      </c>
      <c r="E12" s="231" t="s">
        <v>507</v>
      </c>
      <c r="F12" s="230" t="s">
        <v>543</v>
      </c>
      <c r="G12" s="80" t="s">
        <v>546</v>
      </c>
      <c r="I12" s="231" t="s">
        <v>545</v>
      </c>
      <c r="J12" s="231" t="s">
        <v>544</v>
      </c>
      <c r="K12" s="231" t="s">
        <v>507</v>
      </c>
      <c r="L12" s="230" t="s">
        <v>543</v>
      </c>
      <c r="M12" s="80" t="s">
        <v>546</v>
      </c>
      <c r="O12" s="231" t="s">
        <v>545</v>
      </c>
      <c r="P12" s="231" t="s">
        <v>544</v>
      </c>
      <c r="Q12" s="231" t="s">
        <v>507</v>
      </c>
      <c r="R12" s="230" t="s">
        <v>543</v>
      </c>
      <c r="S12" s="80" t="s">
        <v>546</v>
      </c>
      <c r="U12" s="231" t="s">
        <v>545</v>
      </c>
      <c r="V12" s="231" t="s">
        <v>544</v>
      </c>
      <c r="W12" s="231" t="s">
        <v>507</v>
      </c>
      <c r="X12" s="230" t="s">
        <v>543</v>
      </c>
    </row>
    <row r="14" spans="1:24" x14ac:dyDescent="0.2">
      <c r="A14" s="80">
        <v>1</v>
      </c>
      <c r="B14" s="80"/>
      <c r="C14" s="229">
        <f>PMT(D7/12,D8*12,-D6)</f>
        <v>0</v>
      </c>
      <c r="D14" s="229">
        <f>C14-E14</f>
        <v>0</v>
      </c>
      <c r="E14" s="229">
        <f>D6*D7/12</f>
        <v>0</v>
      </c>
      <c r="F14" s="97">
        <f>IF(D6=0,0,IF(D8=0,0,D$6+CUMPRINC(D$7/12,D$8*12,D$6,1,$A14,0)))</f>
        <v>0</v>
      </c>
      <c r="G14" s="80">
        <v>1</v>
      </c>
      <c r="H14" s="80"/>
      <c r="I14" s="229">
        <f>PMT(J7/12,J8*12,-J6)</f>
        <v>0</v>
      </c>
      <c r="J14" s="229">
        <f>I14-K14</f>
        <v>0</v>
      </c>
      <c r="K14" s="229">
        <f>J6*J7/12</f>
        <v>0</v>
      </c>
      <c r="L14" s="97">
        <f>IF(J6=0,0,IF(J8=0,0,J$6+CUMPRINC(J$7/12,J$8*12,J$6,1,$A14,0)))</f>
        <v>0</v>
      </c>
      <c r="M14" s="80">
        <v>1</v>
      </c>
      <c r="N14" s="80"/>
      <c r="O14" s="229">
        <f>PMT(P7/12,P8*12,-P6)</f>
        <v>0</v>
      </c>
      <c r="P14" s="229">
        <f>O14-Q14</f>
        <v>0</v>
      </c>
      <c r="Q14" s="229">
        <f>P6*P7/12</f>
        <v>0</v>
      </c>
      <c r="R14" s="97">
        <f>IF(P6=0,0,IF(P8=0,0,P$6+CUMPRINC(P$7/12,P$8*12,P$6,1,$A14,0)))</f>
        <v>0</v>
      </c>
      <c r="S14" s="80">
        <v>1</v>
      </c>
      <c r="T14" s="80"/>
      <c r="U14" s="229">
        <f>PMT(V7/12,V8*12,-V6)</f>
        <v>0</v>
      </c>
      <c r="V14" s="229">
        <f>U14-W14</f>
        <v>0</v>
      </c>
      <c r="W14" s="229">
        <f>V6*V7/12</f>
        <v>0</v>
      </c>
      <c r="X14" s="97">
        <f>IF(V6=0,0,IF(V8=0,0,V$6+CUMPRINC(V$7/12,V$8*12,V$6,1,$A14,0)))</f>
        <v>0</v>
      </c>
    </row>
    <row r="15" spans="1:24" x14ac:dyDescent="0.2">
      <c r="A15" s="80">
        <f t="shared" ref="A15:A78" si="0">IF(A14&lt;D$8*12,A14+1,"")</f>
        <v>2</v>
      </c>
      <c r="B15" s="80"/>
      <c r="C15" s="229" t="str">
        <f t="shared" ref="C15:C78" si="1">IF(F14=0,"",IF($A15&lt;=D$8*12,C14,""))</f>
        <v/>
      </c>
      <c r="D15" s="229" t="str">
        <f t="shared" ref="D15:D78" si="2">IF(C15="","",C15-E15)</f>
        <v/>
      </c>
      <c r="E15" s="229" t="str">
        <f t="shared" ref="E15:E78" si="3">IF(C15="","",F14*D$7/12)</f>
        <v/>
      </c>
      <c r="F15" s="97" t="str">
        <f t="shared" ref="F15:F78" si="4">IF(D$6=0,"",IF($A15&gt;D$8*12,"",D$6+CUMPRINC(D$7/12,D$8*12,D$6,1,$A15,0)))</f>
        <v/>
      </c>
      <c r="G15" s="80">
        <f t="shared" ref="G15:G78" si="5">IF(G14&lt;J$8*12,G14+1,"")</f>
        <v>2</v>
      </c>
      <c r="H15" s="80"/>
      <c r="I15" s="229" t="str">
        <f t="shared" ref="I15:I78" si="6">IF(L14=0,"",IF($A15&lt;=J$8*12,I14,""))</f>
        <v/>
      </c>
      <c r="J15" s="229" t="str">
        <f t="shared" ref="J15:J78" si="7">IF(I15="","",I15-K15)</f>
        <v/>
      </c>
      <c r="K15" s="229" t="str">
        <f t="shared" ref="K15:K78" si="8">IF(I15="","",L14*J$7/12)</f>
        <v/>
      </c>
      <c r="L15" s="97" t="str">
        <f t="shared" ref="L15:L78" si="9">IF(J$6=0,"",IF($A15&gt;J$8*12,"",J$6+CUMPRINC(J$7/12,J$8*12,J$6,1,$A15,0)))</f>
        <v/>
      </c>
      <c r="M15" s="80">
        <f t="shared" ref="M15:M78" si="10">IF(M14&lt;P$8*12,M14+1,"")</f>
        <v>2</v>
      </c>
      <c r="N15" s="80"/>
      <c r="O15" s="229" t="str">
        <f>IF(R14=0,"",IF($A15&lt;=P$8*12,O14,""))</f>
        <v/>
      </c>
      <c r="P15" s="229" t="str">
        <f t="shared" ref="P15:P78" si="11">IF(O15="","",O15-Q15)</f>
        <v/>
      </c>
      <c r="Q15" s="229" t="str">
        <f t="shared" ref="Q15:Q78" si="12">IF(O15="","",R14*P$7/12)</f>
        <v/>
      </c>
      <c r="R15" s="97" t="str">
        <f t="shared" ref="R15:R78" si="13">IF(P$6=0,"",IF($A15&gt;P$8*12,"",P$6+CUMPRINC(P$7/12,P$8*12,P$6,1,$A15,0)))</f>
        <v/>
      </c>
      <c r="S15" s="80">
        <f t="shared" ref="S15:S78" si="14">IF(S14&lt;V$8*12,S14+1,"")</f>
        <v>2</v>
      </c>
      <c r="T15" s="80"/>
      <c r="U15" s="229" t="str">
        <f t="shared" ref="U15:U78" si="15">IF(X14=0,"",IF($A15&lt;=V$8*12,U14,""))</f>
        <v/>
      </c>
      <c r="V15" s="229" t="str">
        <f t="shared" ref="V15:V78" si="16">IF(U15="","",U15-W15)</f>
        <v/>
      </c>
      <c r="W15" s="229" t="str">
        <f t="shared" ref="W15:W78" si="17">IF(U15="","",X14*V$7/12)</f>
        <v/>
      </c>
      <c r="X15" s="97" t="str">
        <f t="shared" ref="X15:X78" si="18">IF(V$6=0,"",IF($A15&gt;V$8*12,"",V$6+CUMPRINC(V$7/12,V$8*12,V$6,1,$A15,0)))</f>
        <v/>
      </c>
    </row>
    <row r="16" spans="1:24" x14ac:dyDescent="0.2">
      <c r="A16" s="80">
        <f t="shared" si="0"/>
        <v>3</v>
      </c>
      <c r="B16" s="80"/>
      <c r="C16" s="229" t="str">
        <f t="shared" si="1"/>
        <v/>
      </c>
      <c r="D16" s="229" t="str">
        <f t="shared" si="2"/>
        <v/>
      </c>
      <c r="E16" s="229" t="str">
        <f t="shared" si="3"/>
        <v/>
      </c>
      <c r="F16" s="97" t="str">
        <f t="shared" si="4"/>
        <v/>
      </c>
      <c r="G16" s="80">
        <f t="shared" si="5"/>
        <v>3</v>
      </c>
      <c r="H16" s="80"/>
      <c r="I16" s="229" t="str">
        <f t="shared" si="6"/>
        <v/>
      </c>
      <c r="J16" s="229" t="str">
        <f t="shared" si="7"/>
        <v/>
      </c>
      <c r="K16" s="229" t="str">
        <f t="shared" si="8"/>
        <v/>
      </c>
      <c r="L16" s="97" t="str">
        <f t="shared" si="9"/>
        <v/>
      </c>
      <c r="M16" s="80">
        <f t="shared" si="10"/>
        <v>3</v>
      </c>
      <c r="N16" s="80"/>
      <c r="O16" s="229" t="str">
        <f t="shared" ref="O16:O78" si="19">IF(R15=0,"",IF($A16&lt;=P$8*12,O15,""))</f>
        <v/>
      </c>
      <c r="P16" s="229" t="str">
        <f t="shared" si="11"/>
        <v/>
      </c>
      <c r="Q16" s="229" t="str">
        <f t="shared" si="12"/>
        <v/>
      </c>
      <c r="R16" s="97" t="str">
        <f t="shared" si="13"/>
        <v/>
      </c>
      <c r="S16" s="80">
        <f t="shared" si="14"/>
        <v>3</v>
      </c>
      <c r="T16" s="80"/>
      <c r="U16" s="229" t="str">
        <f t="shared" si="15"/>
        <v/>
      </c>
      <c r="V16" s="229" t="str">
        <f t="shared" si="16"/>
        <v/>
      </c>
      <c r="W16" s="229" t="str">
        <f t="shared" si="17"/>
        <v/>
      </c>
      <c r="X16" s="97" t="str">
        <f t="shared" si="18"/>
        <v/>
      </c>
    </row>
    <row r="17" spans="1:24" x14ac:dyDescent="0.2">
      <c r="A17" s="80">
        <f t="shared" si="0"/>
        <v>4</v>
      </c>
      <c r="B17" s="80"/>
      <c r="C17" s="229" t="str">
        <f t="shared" si="1"/>
        <v/>
      </c>
      <c r="D17" s="229" t="str">
        <f t="shared" si="2"/>
        <v/>
      </c>
      <c r="E17" s="229" t="str">
        <f t="shared" si="3"/>
        <v/>
      </c>
      <c r="F17" s="97" t="str">
        <f t="shared" si="4"/>
        <v/>
      </c>
      <c r="G17" s="80">
        <f t="shared" si="5"/>
        <v>4</v>
      </c>
      <c r="H17" s="80"/>
      <c r="I17" s="229" t="str">
        <f t="shared" si="6"/>
        <v/>
      </c>
      <c r="J17" s="229" t="str">
        <f t="shared" si="7"/>
        <v/>
      </c>
      <c r="K17" s="229" t="str">
        <f t="shared" si="8"/>
        <v/>
      </c>
      <c r="L17" s="97" t="str">
        <f t="shared" si="9"/>
        <v/>
      </c>
      <c r="M17" s="80">
        <f t="shared" si="10"/>
        <v>4</v>
      </c>
      <c r="N17" s="80"/>
      <c r="O17" s="229" t="str">
        <f t="shared" si="19"/>
        <v/>
      </c>
      <c r="P17" s="229" t="str">
        <f t="shared" si="11"/>
        <v/>
      </c>
      <c r="Q17" s="229" t="str">
        <f t="shared" si="12"/>
        <v/>
      </c>
      <c r="R17" s="97" t="str">
        <f t="shared" si="13"/>
        <v/>
      </c>
      <c r="S17" s="80">
        <f t="shared" si="14"/>
        <v>4</v>
      </c>
      <c r="T17" s="80"/>
      <c r="U17" s="229" t="str">
        <f t="shared" si="15"/>
        <v/>
      </c>
      <c r="V17" s="229" t="str">
        <f t="shared" si="16"/>
        <v/>
      </c>
      <c r="W17" s="229" t="str">
        <f t="shared" si="17"/>
        <v/>
      </c>
      <c r="X17" s="97" t="str">
        <f t="shared" si="18"/>
        <v/>
      </c>
    </row>
    <row r="18" spans="1:24" x14ac:dyDescent="0.2">
      <c r="A18" s="80">
        <f t="shared" si="0"/>
        <v>5</v>
      </c>
      <c r="B18" s="80"/>
      <c r="C18" s="229" t="str">
        <f t="shared" si="1"/>
        <v/>
      </c>
      <c r="D18" s="229" t="str">
        <f t="shared" si="2"/>
        <v/>
      </c>
      <c r="E18" s="229" t="str">
        <f t="shared" si="3"/>
        <v/>
      </c>
      <c r="F18" s="97" t="str">
        <f t="shared" si="4"/>
        <v/>
      </c>
      <c r="G18" s="80">
        <f t="shared" si="5"/>
        <v>5</v>
      </c>
      <c r="H18" s="80"/>
      <c r="I18" s="229" t="str">
        <f t="shared" si="6"/>
        <v/>
      </c>
      <c r="J18" s="229" t="str">
        <f t="shared" si="7"/>
        <v/>
      </c>
      <c r="K18" s="229" t="str">
        <f t="shared" si="8"/>
        <v/>
      </c>
      <c r="L18" s="97" t="str">
        <f t="shared" si="9"/>
        <v/>
      </c>
      <c r="M18" s="80">
        <f t="shared" si="10"/>
        <v>5</v>
      </c>
      <c r="N18" s="80"/>
      <c r="O18" s="229" t="str">
        <f t="shared" si="19"/>
        <v/>
      </c>
      <c r="P18" s="229" t="str">
        <f t="shared" si="11"/>
        <v/>
      </c>
      <c r="Q18" s="229" t="str">
        <f t="shared" si="12"/>
        <v/>
      </c>
      <c r="R18" s="97" t="str">
        <f t="shared" si="13"/>
        <v/>
      </c>
      <c r="S18" s="80">
        <f t="shared" si="14"/>
        <v>5</v>
      </c>
      <c r="T18" s="80"/>
      <c r="U18" s="229" t="str">
        <f t="shared" si="15"/>
        <v/>
      </c>
      <c r="V18" s="229" t="str">
        <f t="shared" si="16"/>
        <v/>
      </c>
      <c r="W18" s="229" t="str">
        <f t="shared" si="17"/>
        <v/>
      </c>
      <c r="X18" s="97" t="str">
        <f t="shared" si="18"/>
        <v/>
      </c>
    </row>
    <row r="19" spans="1:24" x14ac:dyDescent="0.2">
      <c r="A19" s="80">
        <f t="shared" si="0"/>
        <v>6</v>
      </c>
      <c r="B19" s="80"/>
      <c r="C19" s="229" t="str">
        <f t="shared" si="1"/>
        <v/>
      </c>
      <c r="D19" s="229" t="str">
        <f t="shared" si="2"/>
        <v/>
      </c>
      <c r="E19" s="229" t="str">
        <f t="shared" si="3"/>
        <v/>
      </c>
      <c r="F19" s="97" t="str">
        <f t="shared" si="4"/>
        <v/>
      </c>
      <c r="G19" s="80">
        <f t="shared" si="5"/>
        <v>6</v>
      </c>
      <c r="H19" s="80"/>
      <c r="I19" s="229" t="str">
        <f t="shared" si="6"/>
        <v/>
      </c>
      <c r="J19" s="229" t="str">
        <f t="shared" si="7"/>
        <v/>
      </c>
      <c r="K19" s="229" t="str">
        <f t="shared" si="8"/>
        <v/>
      </c>
      <c r="L19" s="97" t="str">
        <f t="shared" si="9"/>
        <v/>
      </c>
      <c r="M19" s="80">
        <f t="shared" si="10"/>
        <v>6</v>
      </c>
      <c r="N19" s="80"/>
      <c r="O19" s="229" t="str">
        <f t="shared" si="19"/>
        <v/>
      </c>
      <c r="P19" s="229" t="str">
        <f t="shared" si="11"/>
        <v/>
      </c>
      <c r="Q19" s="229" t="str">
        <f t="shared" si="12"/>
        <v/>
      </c>
      <c r="R19" s="97" t="str">
        <f t="shared" si="13"/>
        <v/>
      </c>
      <c r="S19" s="80">
        <f t="shared" si="14"/>
        <v>6</v>
      </c>
      <c r="T19" s="80"/>
      <c r="U19" s="229" t="str">
        <f t="shared" si="15"/>
        <v/>
      </c>
      <c r="V19" s="229" t="str">
        <f t="shared" si="16"/>
        <v/>
      </c>
      <c r="W19" s="229" t="str">
        <f t="shared" si="17"/>
        <v/>
      </c>
      <c r="X19" s="97" t="str">
        <f t="shared" si="18"/>
        <v/>
      </c>
    </row>
    <row r="20" spans="1:24" x14ac:dyDescent="0.2">
      <c r="A20" s="80">
        <f t="shared" si="0"/>
        <v>7</v>
      </c>
      <c r="B20" s="80"/>
      <c r="C20" s="229" t="str">
        <f t="shared" si="1"/>
        <v/>
      </c>
      <c r="D20" s="229" t="str">
        <f t="shared" si="2"/>
        <v/>
      </c>
      <c r="E20" s="229" t="str">
        <f t="shared" si="3"/>
        <v/>
      </c>
      <c r="F20" s="97" t="str">
        <f t="shared" si="4"/>
        <v/>
      </c>
      <c r="G20" s="80">
        <f t="shared" si="5"/>
        <v>7</v>
      </c>
      <c r="H20" s="80"/>
      <c r="I20" s="229" t="str">
        <f t="shared" si="6"/>
        <v/>
      </c>
      <c r="J20" s="229" t="str">
        <f t="shared" si="7"/>
        <v/>
      </c>
      <c r="K20" s="229" t="str">
        <f t="shared" si="8"/>
        <v/>
      </c>
      <c r="L20" s="97" t="str">
        <f t="shared" si="9"/>
        <v/>
      </c>
      <c r="M20" s="80">
        <f t="shared" si="10"/>
        <v>7</v>
      </c>
      <c r="N20" s="80"/>
      <c r="O20" s="229" t="str">
        <f t="shared" si="19"/>
        <v/>
      </c>
      <c r="P20" s="229" t="str">
        <f t="shared" si="11"/>
        <v/>
      </c>
      <c r="Q20" s="229" t="str">
        <f t="shared" si="12"/>
        <v/>
      </c>
      <c r="R20" s="97" t="str">
        <f t="shared" si="13"/>
        <v/>
      </c>
      <c r="S20" s="80">
        <f t="shared" si="14"/>
        <v>7</v>
      </c>
      <c r="T20" s="80"/>
      <c r="U20" s="229" t="str">
        <f t="shared" si="15"/>
        <v/>
      </c>
      <c r="V20" s="229" t="str">
        <f t="shared" si="16"/>
        <v/>
      </c>
      <c r="W20" s="229" t="str">
        <f t="shared" si="17"/>
        <v/>
      </c>
      <c r="X20" s="97" t="str">
        <f t="shared" si="18"/>
        <v/>
      </c>
    </row>
    <row r="21" spans="1:24" x14ac:dyDescent="0.2">
      <c r="A21" s="80">
        <f t="shared" si="0"/>
        <v>8</v>
      </c>
      <c r="B21" s="80"/>
      <c r="C21" s="229" t="str">
        <f t="shared" si="1"/>
        <v/>
      </c>
      <c r="D21" s="229" t="str">
        <f t="shared" si="2"/>
        <v/>
      </c>
      <c r="E21" s="229" t="str">
        <f t="shared" si="3"/>
        <v/>
      </c>
      <c r="F21" s="97" t="str">
        <f t="shared" si="4"/>
        <v/>
      </c>
      <c r="G21" s="80">
        <f t="shared" si="5"/>
        <v>8</v>
      </c>
      <c r="H21" s="80"/>
      <c r="I21" s="229" t="str">
        <f t="shared" si="6"/>
        <v/>
      </c>
      <c r="J21" s="229" t="str">
        <f t="shared" si="7"/>
        <v/>
      </c>
      <c r="K21" s="229" t="str">
        <f t="shared" si="8"/>
        <v/>
      </c>
      <c r="L21" s="97" t="str">
        <f t="shared" si="9"/>
        <v/>
      </c>
      <c r="M21" s="80">
        <f t="shared" si="10"/>
        <v>8</v>
      </c>
      <c r="N21" s="80"/>
      <c r="O21" s="229" t="str">
        <f t="shared" si="19"/>
        <v/>
      </c>
      <c r="P21" s="229" t="str">
        <f t="shared" si="11"/>
        <v/>
      </c>
      <c r="Q21" s="229" t="str">
        <f t="shared" si="12"/>
        <v/>
      </c>
      <c r="R21" s="97" t="str">
        <f t="shared" si="13"/>
        <v/>
      </c>
      <c r="S21" s="80">
        <f t="shared" si="14"/>
        <v>8</v>
      </c>
      <c r="T21" s="80"/>
      <c r="U21" s="229" t="str">
        <f t="shared" si="15"/>
        <v/>
      </c>
      <c r="V21" s="229" t="str">
        <f t="shared" si="16"/>
        <v/>
      </c>
      <c r="W21" s="229" t="str">
        <f t="shared" si="17"/>
        <v/>
      </c>
      <c r="X21" s="97" t="str">
        <f t="shared" si="18"/>
        <v/>
      </c>
    </row>
    <row r="22" spans="1:24" x14ac:dyDescent="0.2">
      <c r="A22" s="80">
        <f t="shared" si="0"/>
        <v>9</v>
      </c>
      <c r="B22" s="80"/>
      <c r="C22" s="229" t="str">
        <f t="shared" si="1"/>
        <v/>
      </c>
      <c r="D22" s="229" t="str">
        <f t="shared" si="2"/>
        <v/>
      </c>
      <c r="E22" s="229" t="str">
        <f t="shared" si="3"/>
        <v/>
      </c>
      <c r="F22" s="97" t="str">
        <f t="shared" si="4"/>
        <v/>
      </c>
      <c r="G22" s="80">
        <f t="shared" si="5"/>
        <v>9</v>
      </c>
      <c r="H22" s="80"/>
      <c r="I22" s="229" t="str">
        <f t="shared" si="6"/>
        <v/>
      </c>
      <c r="J22" s="229" t="str">
        <f t="shared" si="7"/>
        <v/>
      </c>
      <c r="K22" s="229" t="str">
        <f t="shared" si="8"/>
        <v/>
      </c>
      <c r="L22" s="97" t="str">
        <f t="shared" si="9"/>
        <v/>
      </c>
      <c r="M22" s="80">
        <f t="shared" si="10"/>
        <v>9</v>
      </c>
      <c r="N22" s="80"/>
      <c r="O22" s="229" t="str">
        <f t="shared" si="19"/>
        <v/>
      </c>
      <c r="P22" s="229" t="str">
        <f t="shared" si="11"/>
        <v/>
      </c>
      <c r="Q22" s="229" t="str">
        <f t="shared" si="12"/>
        <v/>
      </c>
      <c r="R22" s="97" t="str">
        <f t="shared" si="13"/>
        <v/>
      </c>
      <c r="S22" s="80">
        <f t="shared" si="14"/>
        <v>9</v>
      </c>
      <c r="T22" s="80"/>
      <c r="U22" s="229" t="str">
        <f t="shared" si="15"/>
        <v/>
      </c>
      <c r="V22" s="229" t="str">
        <f t="shared" si="16"/>
        <v/>
      </c>
      <c r="W22" s="229" t="str">
        <f t="shared" si="17"/>
        <v/>
      </c>
      <c r="X22" s="97" t="str">
        <f t="shared" si="18"/>
        <v/>
      </c>
    </row>
    <row r="23" spans="1:24" x14ac:dyDescent="0.2">
      <c r="A23" s="80">
        <f t="shared" si="0"/>
        <v>10</v>
      </c>
      <c r="B23" s="80"/>
      <c r="C23" s="229" t="str">
        <f t="shared" si="1"/>
        <v/>
      </c>
      <c r="D23" s="229" t="str">
        <f t="shared" si="2"/>
        <v/>
      </c>
      <c r="E23" s="229" t="str">
        <f t="shared" si="3"/>
        <v/>
      </c>
      <c r="F23" s="97" t="str">
        <f t="shared" si="4"/>
        <v/>
      </c>
      <c r="G23" s="80">
        <f t="shared" si="5"/>
        <v>10</v>
      </c>
      <c r="H23" s="80"/>
      <c r="I23" s="229" t="str">
        <f t="shared" si="6"/>
        <v/>
      </c>
      <c r="J23" s="229" t="str">
        <f t="shared" si="7"/>
        <v/>
      </c>
      <c r="K23" s="229" t="str">
        <f t="shared" si="8"/>
        <v/>
      </c>
      <c r="L23" s="97" t="str">
        <f t="shared" si="9"/>
        <v/>
      </c>
      <c r="M23" s="80">
        <f t="shared" si="10"/>
        <v>10</v>
      </c>
      <c r="N23" s="80"/>
      <c r="O23" s="229" t="str">
        <f t="shared" si="19"/>
        <v/>
      </c>
      <c r="P23" s="229" t="str">
        <f t="shared" si="11"/>
        <v/>
      </c>
      <c r="Q23" s="229" t="str">
        <f t="shared" si="12"/>
        <v/>
      </c>
      <c r="R23" s="97" t="str">
        <f t="shared" si="13"/>
        <v/>
      </c>
      <c r="S23" s="80">
        <f t="shared" si="14"/>
        <v>10</v>
      </c>
      <c r="T23" s="80"/>
      <c r="U23" s="229" t="str">
        <f t="shared" si="15"/>
        <v/>
      </c>
      <c r="V23" s="229" t="str">
        <f t="shared" si="16"/>
        <v/>
      </c>
      <c r="W23" s="229" t="str">
        <f t="shared" si="17"/>
        <v/>
      </c>
      <c r="X23" s="97" t="str">
        <f t="shared" si="18"/>
        <v/>
      </c>
    </row>
    <row r="24" spans="1:24" x14ac:dyDescent="0.2">
      <c r="A24" s="80">
        <f t="shared" si="0"/>
        <v>11</v>
      </c>
      <c r="B24" s="80"/>
      <c r="C24" s="229" t="str">
        <f t="shared" si="1"/>
        <v/>
      </c>
      <c r="D24" s="229" t="str">
        <f t="shared" si="2"/>
        <v/>
      </c>
      <c r="E24" s="229" t="str">
        <f t="shared" si="3"/>
        <v/>
      </c>
      <c r="F24" s="97" t="str">
        <f t="shared" si="4"/>
        <v/>
      </c>
      <c r="G24" s="80">
        <f t="shared" si="5"/>
        <v>11</v>
      </c>
      <c r="H24" s="80"/>
      <c r="I24" s="229" t="str">
        <f t="shared" si="6"/>
        <v/>
      </c>
      <c r="J24" s="229" t="str">
        <f t="shared" si="7"/>
        <v/>
      </c>
      <c r="K24" s="229" t="str">
        <f t="shared" si="8"/>
        <v/>
      </c>
      <c r="L24" s="97" t="str">
        <f t="shared" si="9"/>
        <v/>
      </c>
      <c r="M24" s="80">
        <f t="shared" si="10"/>
        <v>11</v>
      </c>
      <c r="N24" s="80"/>
      <c r="O24" s="229" t="str">
        <f t="shared" si="19"/>
        <v/>
      </c>
      <c r="P24" s="229" t="str">
        <f t="shared" si="11"/>
        <v/>
      </c>
      <c r="Q24" s="229" t="str">
        <f t="shared" si="12"/>
        <v/>
      </c>
      <c r="R24" s="97" t="str">
        <f t="shared" si="13"/>
        <v/>
      </c>
      <c r="S24" s="80">
        <f t="shared" si="14"/>
        <v>11</v>
      </c>
      <c r="T24" s="80"/>
      <c r="U24" s="229" t="str">
        <f t="shared" si="15"/>
        <v/>
      </c>
      <c r="V24" s="229" t="str">
        <f t="shared" si="16"/>
        <v/>
      </c>
      <c r="W24" s="229" t="str">
        <f t="shared" si="17"/>
        <v/>
      </c>
      <c r="X24" s="97" t="str">
        <f t="shared" si="18"/>
        <v/>
      </c>
    </row>
    <row r="25" spans="1:24" x14ac:dyDescent="0.2">
      <c r="A25" s="80">
        <f t="shared" si="0"/>
        <v>12</v>
      </c>
      <c r="B25" s="80"/>
      <c r="C25" s="229" t="str">
        <f t="shared" si="1"/>
        <v/>
      </c>
      <c r="D25" s="229" t="str">
        <f t="shared" si="2"/>
        <v/>
      </c>
      <c r="E25" s="229" t="str">
        <f t="shared" si="3"/>
        <v/>
      </c>
      <c r="F25" s="97" t="str">
        <f t="shared" si="4"/>
        <v/>
      </c>
      <c r="G25" s="80">
        <f t="shared" si="5"/>
        <v>12</v>
      </c>
      <c r="H25" s="80"/>
      <c r="I25" s="229" t="str">
        <f t="shared" si="6"/>
        <v/>
      </c>
      <c r="J25" s="229" t="str">
        <f t="shared" si="7"/>
        <v/>
      </c>
      <c r="K25" s="229" t="str">
        <f t="shared" si="8"/>
        <v/>
      </c>
      <c r="L25" s="97" t="str">
        <f t="shared" si="9"/>
        <v/>
      </c>
      <c r="M25" s="80">
        <f t="shared" si="10"/>
        <v>12</v>
      </c>
      <c r="N25" s="80"/>
      <c r="O25" s="229" t="str">
        <f t="shared" si="19"/>
        <v/>
      </c>
      <c r="P25" s="229" t="str">
        <f t="shared" si="11"/>
        <v/>
      </c>
      <c r="Q25" s="229" t="str">
        <f t="shared" si="12"/>
        <v/>
      </c>
      <c r="R25" s="97" t="str">
        <f t="shared" si="13"/>
        <v/>
      </c>
      <c r="S25" s="80">
        <f t="shared" si="14"/>
        <v>12</v>
      </c>
      <c r="T25" s="80"/>
      <c r="U25" s="229" t="str">
        <f t="shared" si="15"/>
        <v/>
      </c>
      <c r="V25" s="229" t="str">
        <f t="shared" si="16"/>
        <v/>
      </c>
      <c r="W25" s="229" t="str">
        <f t="shared" si="17"/>
        <v/>
      </c>
      <c r="X25" s="97" t="str">
        <f t="shared" si="18"/>
        <v/>
      </c>
    </row>
    <row r="26" spans="1:24" x14ac:dyDescent="0.2">
      <c r="A26" s="80">
        <f t="shared" si="0"/>
        <v>13</v>
      </c>
      <c r="B26" s="80"/>
      <c r="C26" s="229" t="str">
        <f t="shared" si="1"/>
        <v/>
      </c>
      <c r="D26" s="229" t="str">
        <f t="shared" si="2"/>
        <v/>
      </c>
      <c r="E26" s="229" t="str">
        <f t="shared" si="3"/>
        <v/>
      </c>
      <c r="F26" s="97" t="str">
        <f t="shared" si="4"/>
        <v/>
      </c>
      <c r="G26" s="80">
        <f t="shared" si="5"/>
        <v>13</v>
      </c>
      <c r="H26" s="80"/>
      <c r="I26" s="229" t="str">
        <f t="shared" si="6"/>
        <v/>
      </c>
      <c r="J26" s="229" t="str">
        <f t="shared" si="7"/>
        <v/>
      </c>
      <c r="K26" s="229" t="str">
        <f t="shared" si="8"/>
        <v/>
      </c>
      <c r="L26" s="97" t="str">
        <f t="shared" si="9"/>
        <v/>
      </c>
      <c r="M26" s="80">
        <f t="shared" si="10"/>
        <v>13</v>
      </c>
      <c r="N26" s="80"/>
      <c r="O26" s="229" t="str">
        <f t="shared" si="19"/>
        <v/>
      </c>
      <c r="P26" s="229" t="str">
        <f t="shared" si="11"/>
        <v/>
      </c>
      <c r="Q26" s="229" t="str">
        <f t="shared" si="12"/>
        <v/>
      </c>
      <c r="R26" s="97" t="str">
        <f t="shared" si="13"/>
        <v/>
      </c>
      <c r="S26" s="80">
        <f t="shared" si="14"/>
        <v>13</v>
      </c>
      <c r="T26" s="80"/>
      <c r="U26" s="229" t="str">
        <f t="shared" si="15"/>
        <v/>
      </c>
      <c r="V26" s="229" t="str">
        <f t="shared" si="16"/>
        <v/>
      </c>
      <c r="W26" s="229" t="str">
        <f t="shared" si="17"/>
        <v/>
      </c>
      <c r="X26" s="97" t="str">
        <f t="shared" si="18"/>
        <v/>
      </c>
    </row>
    <row r="27" spans="1:24" x14ac:dyDescent="0.2">
      <c r="A27" s="80">
        <f t="shared" si="0"/>
        <v>14</v>
      </c>
      <c r="B27" s="80"/>
      <c r="C27" s="229" t="str">
        <f t="shared" si="1"/>
        <v/>
      </c>
      <c r="D27" s="229" t="str">
        <f t="shared" si="2"/>
        <v/>
      </c>
      <c r="E27" s="229" t="str">
        <f t="shared" si="3"/>
        <v/>
      </c>
      <c r="F27" s="97" t="str">
        <f t="shared" si="4"/>
        <v/>
      </c>
      <c r="G27" s="80">
        <f t="shared" si="5"/>
        <v>14</v>
      </c>
      <c r="H27" s="80"/>
      <c r="I27" s="229" t="str">
        <f t="shared" si="6"/>
        <v/>
      </c>
      <c r="J27" s="229" t="str">
        <f t="shared" si="7"/>
        <v/>
      </c>
      <c r="K27" s="229" t="str">
        <f t="shared" si="8"/>
        <v/>
      </c>
      <c r="L27" s="97" t="str">
        <f t="shared" si="9"/>
        <v/>
      </c>
      <c r="M27" s="80">
        <f t="shared" si="10"/>
        <v>14</v>
      </c>
      <c r="N27" s="80"/>
      <c r="O27" s="229" t="str">
        <f t="shared" si="19"/>
        <v/>
      </c>
      <c r="P27" s="229" t="str">
        <f t="shared" si="11"/>
        <v/>
      </c>
      <c r="Q27" s="229" t="str">
        <f t="shared" si="12"/>
        <v/>
      </c>
      <c r="R27" s="97" t="str">
        <f t="shared" si="13"/>
        <v/>
      </c>
      <c r="S27" s="80">
        <f t="shared" si="14"/>
        <v>14</v>
      </c>
      <c r="T27" s="80"/>
      <c r="U27" s="229" t="str">
        <f t="shared" si="15"/>
        <v/>
      </c>
      <c r="V27" s="229" t="str">
        <f t="shared" si="16"/>
        <v/>
      </c>
      <c r="W27" s="229" t="str">
        <f t="shared" si="17"/>
        <v/>
      </c>
      <c r="X27" s="97" t="str">
        <f t="shared" si="18"/>
        <v/>
      </c>
    </row>
    <row r="28" spans="1:24" x14ac:dyDescent="0.2">
      <c r="A28" s="80">
        <f t="shared" si="0"/>
        <v>15</v>
      </c>
      <c r="B28" s="80"/>
      <c r="C28" s="229" t="str">
        <f t="shared" si="1"/>
        <v/>
      </c>
      <c r="D28" s="229" t="str">
        <f t="shared" si="2"/>
        <v/>
      </c>
      <c r="E28" s="229" t="str">
        <f t="shared" si="3"/>
        <v/>
      </c>
      <c r="F28" s="97" t="str">
        <f t="shared" si="4"/>
        <v/>
      </c>
      <c r="G28" s="80">
        <f t="shared" si="5"/>
        <v>15</v>
      </c>
      <c r="H28" s="80"/>
      <c r="I28" s="229" t="str">
        <f t="shared" si="6"/>
        <v/>
      </c>
      <c r="J28" s="229" t="str">
        <f t="shared" si="7"/>
        <v/>
      </c>
      <c r="K28" s="229" t="str">
        <f t="shared" si="8"/>
        <v/>
      </c>
      <c r="L28" s="97" t="str">
        <f t="shared" si="9"/>
        <v/>
      </c>
      <c r="M28" s="80">
        <f t="shared" si="10"/>
        <v>15</v>
      </c>
      <c r="N28" s="80"/>
      <c r="O28" s="229" t="str">
        <f t="shared" si="19"/>
        <v/>
      </c>
      <c r="P28" s="229" t="str">
        <f t="shared" si="11"/>
        <v/>
      </c>
      <c r="Q28" s="229" t="str">
        <f t="shared" si="12"/>
        <v/>
      </c>
      <c r="R28" s="97" t="str">
        <f t="shared" si="13"/>
        <v/>
      </c>
      <c r="S28" s="80">
        <f t="shared" si="14"/>
        <v>15</v>
      </c>
      <c r="T28" s="80"/>
      <c r="U28" s="229" t="str">
        <f t="shared" si="15"/>
        <v/>
      </c>
      <c r="V28" s="229" t="str">
        <f t="shared" si="16"/>
        <v/>
      </c>
      <c r="W28" s="229" t="str">
        <f t="shared" si="17"/>
        <v/>
      </c>
      <c r="X28" s="97" t="str">
        <f t="shared" si="18"/>
        <v/>
      </c>
    </row>
    <row r="29" spans="1:24" x14ac:dyDescent="0.2">
      <c r="A29" s="80">
        <f t="shared" si="0"/>
        <v>16</v>
      </c>
      <c r="B29" s="80"/>
      <c r="C29" s="229" t="str">
        <f t="shared" si="1"/>
        <v/>
      </c>
      <c r="D29" s="229" t="str">
        <f t="shared" si="2"/>
        <v/>
      </c>
      <c r="E29" s="229" t="str">
        <f t="shared" si="3"/>
        <v/>
      </c>
      <c r="F29" s="97" t="str">
        <f t="shared" si="4"/>
        <v/>
      </c>
      <c r="G29" s="80">
        <f t="shared" si="5"/>
        <v>16</v>
      </c>
      <c r="H29" s="80"/>
      <c r="I29" s="229" t="str">
        <f t="shared" si="6"/>
        <v/>
      </c>
      <c r="J29" s="229" t="str">
        <f t="shared" si="7"/>
        <v/>
      </c>
      <c r="K29" s="229" t="str">
        <f t="shared" si="8"/>
        <v/>
      </c>
      <c r="L29" s="97" t="str">
        <f t="shared" si="9"/>
        <v/>
      </c>
      <c r="M29" s="80">
        <f t="shared" si="10"/>
        <v>16</v>
      </c>
      <c r="N29" s="80"/>
      <c r="O29" s="229" t="str">
        <f t="shared" si="19"/>
        <v/>
      </c>
      <c r="P29" s="229" t="str">
        <f t="shared" si="11"/>
        <v/>
      </c>
      <c r="Q29" s="229" t="str">
        <f t="shared" si="12"/>
        <v/>
      </c>
      <c r="R29" s="97" t="str">
        <f t="shared" si="13"/>
        <v/>
      </c>
      <c r="S29" s="80">
        <f t="shared" si="14"/>
        <v>16</v>
      </c>
      <c r="T29" s="80"/>
      <c r="U29" s="229" t="str">
        <f t="shared" si="15"/>
        <v/>
      </c>
      <c r="V29" s="229" t="str">
        <f t="shared" si="16"/>
        <v/>
      </c>
      <c r="W29" s="229" t="str">
        <f t="shared" si="17"/>
        <v/>
      </c>
      <c r="X29" s="97" t="str">
        <f t="shared" si="18"/>
        <v/>
      </c>
    </row>
    <row r="30" spans="1:24" x14ac:dyDescent="0.2">
      <c r="A30" s="80">
        <f t="shared" si="0"/>
        <v>17</v>
      </c>
      <c r="B30" s="80"/>
      <c r="C30" s="229" t="str">
        <f t="shared" si="1"/>
        <v/>
      </c>
      <c r="D30" s="229" t="str">
        <f t="shared" si="2"/>
        <v/>
      </c>
      <c r="E30" s="229" t="str">
        <f t="shared" si="3"/>
        <v/>
      </c>
      <c r="F30" s="97" t="str">
        <f t="shared" si="4"/>
        <v/>
      </c>
      <c r="G30" s="80">
        <f t="shared" si="5"/>
        <v>17</v>
      </c>
      <c r="H30" s="80"/>
      <c r="I30" s="229" t="str">
        <f t="shared" si="6"/>
        <v/>
      </c>
      <c r="J30" s="229" t="str">
        <f t="shared" si="7"/>
        <v/>
      </c>
      <c r="K30" s="229" t="str">
        <f t="shared" si="8"/>
        <v/>
      </c>
      <c r="L30" s="97" t="str">
        <f t="shared" si="9"/>
        <v/>
      </c>
      <c r="M30" s="80">
        <f t="shared" si="10"/>
        <v>17</v>
      </c>
      <c r="N30" s="80"/>
      <c r="O30" s="229" t="str">
        <f t="shared" si="19"/>
        <v/>
      </c>
      <c r="P30" s="229" t="str">
        <f t="shared" si="11"/>
        <v/>
      </c>
      <c r="Q30" s="229" t="str">
        <f t="shared" si="12"/>
        <v/>
      </c>
      <c r="R30" s="97" t="str">
        <f t="shared" si="13"/>
        <v/>
      </c>
      <c r="S30" s="80">
        <f t="shared" si="14"/>
        <v>17</v>
      </c>
      <c r="T30" s="80"/>
      <c r="U30" s="229" t="str">
        <f t="shared" si="15"/>
        <v/>
      </c>
      <c r="V30" s="229" t="str">
        <f t="shared" si="16"/>
        <v/>
      </c>
      <c r="W30" s="229" t="str">
        <f t="shared" si="17"/>
        <v/>
      </c>
      <c r="X30" s="97" t="str">
        <f t="shared" si="18"/>
        <v/>
      </c>
    </row>
    <row r="31" spans="1:24" x14ac:dyDescent="0.2">
      <c r="A31" s="80">
        <f t="shared" si="0"/>
        <v>18</v>
      </c>
      <c r="B31" s="80"/>
      <c r="C31" s="229" t="str">
        <f t="shared" si="1"/>
        <v/>
      </c>
      <c r="D31" s="229" t="str">
        <f t="shared" si="2"/>
        <v/>
      </c>
      <c r="E31" s="229" t="str">
        <f t="shared" si="3"/>
        <v/>
      </c>
      <c r="F31" s="97" t="str">
        <f t="shared" si="4"/>
        <v/>
      </c>
      <c r="G31" s="80">
        <f t="shared" si="5"/>
        <v>18</v>
      </c>
      <c r="H31" s="80"/>
      <c r="I31" s="229" t="str">
        <f t="shared" si="6"/>
        <v/>
      </c>
      <c r="J31" s="229" t="str">
        <f t="shared" si="7"/>
        <v/>
      </c>
      <c r="K31" s="229" t="str">
        <f t="shared" si="8"/>
        <v/>
      </c>
      <c r="L31" s="97" t="str">
        <f t="shared" si="9"/>
        <v/>
      </c>
      <c r="M31" s="80">
        <f t="shared" si="10"/>
        <v>18</v>
      </c>
      <c r="N31" s="80"/>
      <c r="O31" s="229" t="str">
        <f t="shared" si="19"/>
        <v/>
      </c>
      <c r="P31" s="229" t="str">
        <f t="shared" si="11"/>
        <v/>
      </c>
      <c r="Q31" s="229" t="str">
        <f t="shared" si="12"/>
        <v/>
      </c>
      <c r="R31" s="97" t="str">
        <f t="shared" si="13"/>
        <v/>
      </c>
      <c r="S31" s="80">
        <f t="shared" si="14"/>
        <v>18</v>
      </c>
      <c r="T31" s="80"/>
      <c r="U31" s="229" t="str">
        <f t="shared" si="15"/>
        <v/>
      </c>
      <c r="V31" s="229" t="str">
        <f t="shared" si="16"/>
        <v/>
      </c>
      <c r="W31" s="229" t="str">
        <f t="shared" si="17"/>
        <v/>
      </c>
      <c r="X31" s="97" t="str">
        <f t="shared" si="18"/>
        <v/>
      </c>
    </row>
    <row r="32" spans="1:24" x14ac:dyDescent="0.2">
      <c r="A32" s="80">
        <f t="shared" si="0"/>
        <v>19</v>
      </c>
      <c r="B32" s="80"/>
      <c r="C32" s="229" t="str">
        <f t="shared" si="1"/>
        <v/>
      </c>
      <c r="D32" s="229" t="str">
        <f t="shared" si="2"/>
        <v/>
      </c>
      <c r="E32" s="229" t="str">
        <f t="shared" si="3"/>
        <v/>
      </c>
      <c r="F32" s="97" t="str">
        <f t="shared" si="4"/>
        <v/>
      </c>
      <c r="G32" s="80">
        <f t="shared" si="5"/>
        <v>19</v>
      </c>
      <c r="H32" s="80"/>
      <c r="I32" s="229" t="str">
        <f t="shared" si="6"/>
        <v/>
      </c>
      <c r="J32" s="229" t="str">
        <f t="shared" si="7"/>
        <v/>
      </c>
      <c r="K32" s="229" t="str">
        <f t="shared" si="8"/>
        <v/>
      </c>
      <c r="L32" s="97" t="str">
        <f t="shared" si="9"/>
        <v/>
      </c>
      <c r="M32" s="80">
        <f t="shared" si="10"/>
        <v>19</v>
      </c>
      <c r="N32" s="80"/>
      <c r="O32" s="229" t="str">
        <f t="shared" si="19"/>
        <v/>
      </c>
      <c r="P32" s="229" t="str">
        <f t="shared" si="11"/>
        <v/>
      </c>
      <c r="Q32" s="229" t="str">
        <f t="shared" si="12"/>
        <v/>
      </c>
      <c r="R32" s="97" t="str">
        <f t="shared" si="13"/>
        <v/>
      </c>
      <c r="S32" s="80">
        <f t="shared" si="14"/>
        <v>19</v>
      </c>
      <c r="T32" s="80"/>
      <c r="U32" s="229" t="str">
        <f t="shared" si="15"/>
        <v/>
      </c>
      <c r="V32" s="229" t="str">
        <f t="shared" si="16"/>
        <v/>
      </c>
      <c r="W32" s="229" t="str">
        <f t="shared" si="17"/>
        <v/>
      </c>
      <c r="X32" s="97" t="str">
        <f t="shared" si="18"/>
        <v/>
      </c>
    </row>
    <row r="33" spans="1:24" x14ac:dyDescent="0.2">
      <c r="A33" s="80">
        <f t="shared" si="0"/>
        <v>20</v>
      </c>
      <c r="B33" s="80"/>
      <c r="C33" s="229" t="str">
        <f t="shared" si="1"/>
        <v/>
      </c>
      <c r="D33" s="229" t="str">
        <f t="shared" si="2"/>
        <v/>
      </c>
      <c r="E33" s="229" t="str">
        <f t="shared" si="3"/>
        <v/>
      </c>
      <c r="F33" s="97" t="str">
        <f t="shared" si="4"/>
        <v/>
      </c>
      <c r="G33" s="80">
        <f t="shared" si="5"/>
        <v>20</v>
      </c>
      <c r="H33" s="80"/>
      <c r="I33" s="229" t="str">
        <f t="shared" si="6"/>
        <v/>
      </c>
      <c r="J33" s="229" t="str">
        <f t="shared" si="7"/>
        <v/>
      </c>
      <c r="K33" s="229" t="str">
        <f t="shared" si="8"/>
        <v/>
      </c>
      <c r="L33" s="97" t="str">
        <f t="shared" si="9"/>
        <v/>
      </c>
      <c r="M33" s="80">
        <f t="shared" si="10"/>
        <v>20</v>
      </c>
      <c r="N33" s="80"/>
      <c r="O33" s="229" t="str">
        <f t="shared" si="19"/>
        <v/>
      </c>
      <c r="P33" s="229" t="str">
        <f t="shared" si="11"/>
        <v/>
      </c>
      <c r="Q33" s="229" t="str">
        <f t="shared" si="12"/>
        <v/>
      </c>
      <c r="R33" s="97" t="str">
        <f t="shared" si="13"/>
        <v/>
      </c>
      <c r="S33" s="80">
        <f t="shared" si="14"/>
        <v>20</v>
      </c>
      <c r="T33" s="80"/>
      <c r="U33" s="229" t="str">
        <f t="shared" si="15"/>
        <v/>
      </c>
      <c r="V33" s="229" t="str">
        <f t="shared" si="16"/>
        <v/>
      </c>
      <c r="W33" s="229" t="str">
        <f t="shared" si="17"/>
        <v/>
      </c>
      <c r="X33" s="97" t="str">
        <f t="shared" si="18"/>
        <v/>
      </c>
    </row>
    <row r="34" spans="1:24" x14ac:dyDescent="0.2">
      <c r="A34" s="80">
        <f t="shared" si="0"/>
        <v>21</v>
      </c>
      <c r="B34" s="80"/>
      <c r="C34" s="229" t="str">
        <f t="shared" si="1"/>
        <v/>
      </c>
      <c r="D34" s="229" t="str">
        <f t="shared" si="2"/>
        <v/>
      </c>
      <c r="E34" s="229" t="str">
        <f t="shared" si="3"/>
        <v/>
      </c>
      <c r="F34" s="97" t="str">
        <f t="shared" si="4"/>
        <v/>
      </c>
      <c r="G34" s="80">
        <f t="shared" si="5"/>
        <v>21</v>
      </c>
      <c r="H34" s="80"/>
      <c r="I34" s="229" t="str">
        <f t="shared" si="6"/>
        <v/>
      </c>
      <c r="J34" s="229" t="str">
        <f t="shared" si="7"/>
        <v/>
      </c>
      <c r="K34" s="229" t="str">
        <f t="shared" si="8"/>
        <v/>
      </c>
      <c r="L34" s="97" t="str">
        <f t="shared" si="9"/>
        <v/>
      </c>
      <c r="M34" s="80">
        <f t="shared" si="10"/>
        <v>21</v>
      </c>
      <c r="N34" s="80"/>
      <c r="O34" s="229" t="str">
        <f t="shared" si="19"/>
        <v/>
      </c>
      <c r="P34" s="229" t="str">
        <f t="shared" si="11"/>
        <v/>
      </c>
      <c r="Q34" s="229" t="str">
        <f t="shared" si="12"/>
        <v/>
      </c>
      <c r="R34" s="97" t="str">
        <f t="shared" si="13"/>
        <v/>
      </c>
      <c r="S34" s="80">
        <f t="shared" si="14"/>
        <v>21</v>
      </c>
      <c r="T34" s="80"/>
      <c r="U34" s="229" t="str">
        <f t="shared" si="15"/>
        <v/>
      </c>
      <c r="V34" s="229" t="str">
        <f t="shared" si="16"/>
        <v/>
      </c>
      <c r="W34" s="229" t="str">
        <f t="shared" si="17"/>
        <v/>
      </c>
      <c r="X34" s="97" t="str">
        <f t="shared" si="18"/>
        <v/>
      </c>
    </row>
    <row r="35" spans="1:24" x14ac:dyDescent="0.2">
      <c r="A35" s="80">
        <f t="shared" si="0"/>
        <v>22</v>
      </c>
      <c r="B35" s="80"/>
      <c r="C35" s="229" t="str">
        <f t="shared" si="1"/>
        <v/>
      </c>
      <c r="D35" s="229" t="str">
        <f t="shared" si="2"/>
        <v/>
      </c>
      <c r="E35" s="229" t="str">
        <f t="shared" si="3"/>
        <v/>
      </c>
      <c r="F35" s="97" t="str">
        <f t="shared" si="4"/>
        <v/>
      </c>
      <c r="G35" s="80">
        <f t="shared" si="5"/>
        <v>22</v>
      </c>
      <c r="H35" s="80"/>
      <c r="I35" s="229" t="str">
        <f t="shared" si="6"/>
        <v/>
      </c>
      <c r="J35" s="229" t="str">
        <f t="shared" si="7"/>
        <v/>
      </c>
      <c r="K35" s="229" t="str">
        <f t="shared" si="8"/>
        <v/>
      </c>
      <c r="L35" s="97" t="str">
        <f t="shared" si="9"/>
        <v/>
      </c>
      <c r="M35" s="80">
        <f t="shared" si="10"/>
        <v>22</v>
      </c>
      <c r="N35" s="80"/>
      <c r="O35" s="229" t="str">
        <f t="shared" si="19"/>
        <v/>
      </c>
      <c r="P35" s="229" t="str">
        <f t="shared" si="11"/>
        <v/>
      </c>
      <c r="Q35" s="229" t="str">
        <f t="shared" si="12"/>
        <v/>
      </c>
      <c r="R35" s="97" t="str">
        <f t="shared" si="13"/>
        <v/>
      </c>
      <c r="S35" s="80">
        <f t="shared" si="14"/>
        <v>22</v>
      </c>
      <c r="T35" s="80"/>
      <c r="U35" s="229" t="str">
        <f t="shared" si="15"/>
        <v/>
      </c>
      <c r="V35" s="229" t="str">
        <f t="shared" si="16"/>
        <v/>
      </c>
      <c r="W35" s="229" t="str">
        <f t="shared" si="17"/>
        <v/>
      </c>
      <c r="X35" s="97" t="str">
        <f t="shared" si="18"/>
        <v/>
      </c>
    </row>
    <row r="36" spans="1:24" x14ac:dyDescent="0.2">
      <c r="A36" s="80">
        <f t="shared" si="0"/>
        <v>23</v>
      </c>
      <c r="B36" s="80"/>
      <c r="C36" s="229" t="str">
        <f t="shared" si="1"/>
        <v/>
      </c>
      <c r="D36" s="229" t="str">
        <f t="shared" si="2"/>
        <v/>
      </c>
      <c r="E36" s="229" t="str">
        <f t="shared" si="3"/>
        <v/>
      </c>
      <c r="F36" s="97" t="str">
        <f t="shared" si="4"/>
        <v/>
      </c>
      <c r="G36" s="80">
        <f t="shared" si="5"/>
        <v>23</v>
      </c>
      <c r="H36" s="80"/>
      <c r="I36" s="229" t="str">
        <f t="shared" si="6"/>
        <v/>
      </c>
      <c r="J36" s="229" t="str">
        <f t="shared" si="7"/>
        <v/>
      </c>
      <c r="K36" s="229" t="str">
        <f t="shared" si="8"/>
        <v/>
      </c>
      <c r="L36" s="97" t="str">
        <f t="shared" si="9"/>
        <v/>
      </c>
      <c r="M36" s="80">
        <f t="shared" si="10"/>
        <v>23</v>
      </c>
      <c r="N36" s="80"/>
      <c r="O36" s="229" t="str">
        <f t="shared" si="19"/>
        <v/>
      </c>
      <c r="P36" s="229" t="str">
        <f t="shared" si="11"/>
        <v/>
      </c>
      <c r="Q36" s="229" t="str">
        <f t="shared" si="12"/>
        <v/>
      </c>
      <c r="R36" s="97" t="str">
        <f t="shared" si="13"/>
        <v/>
      </c>
      <c r="S36" s="80">
        <f t="shared" si="14"/>
        <v>23</v>
      </c>
      <c r="T36" s="80"/>
      <c r="U36" s="229" t="str">
        <f t="shared" si="15"/>
        <v/>
      </c>
      <c r="V36" s="229" t="str">
        <f t="shared" si="16"/>
        <v/>
      </c>
      <c r="W36" s="229" t="str">
        <f t="shared" si="17"/>
        <v/>
      </c>
      <c r="X36" s="97" t="str">
        <f t="shared" si="18"/>
        <v/>
      </c>
    </row>
    <row r="37" spans="1:24" x14ac:dyDescent="0.2">
      <c r="A37" s="80">
        <f t="shared" si="0"/>
        <v>24</v>
      </c>
      <c r="B37" s="80"/>
      <c r="C37" s="229" t="str">
        <f t="shared" si="1"/>
        <v/>
      </c>
      <c r="D37" s="229" t="str">
        <f t="shared" si="2"/>
        <v/>
      </c>
      <c r="E37" s="229" t="str">
        <f t="shared" si="3"/>
        <v/>
      </c>
      <c r="F37" s="97" t="str">
        <f t="shared" si="4"/>
        <v/>
      </c>
      <c r="G37" s="80">
        <f t="shared" si="5"/>
        <v>24</v>
      </c>
      <c r="H37" s="80"/>
      <c r="I37" s="229" t="str">
        <f t="shared" si="6"/>
        <v/>
      </c>
      <c r="J37" s="229" t="str">
        <f t="shared" si="7"/>
        <v/>
      </c>
      <c r="K37" s="229" t="str">
        <f t="shared" si="8"/>
        <v/>
      </c>
      <c r="L37" s="97" t="str">
        <f t="shared" si="9"/>
        <v/>
      </c>
      <c r="M37" s="80">
        <f t="shared" si="10"/>
        <v>24</v>
      </c>
      <c r="N37" s="80"/>
      <c r="O37" s="229" t="str">
        <f t="shared" si="19"/>
        <v/>
      </c>
      <c r="P37" s="229" t="str">
        <f t="shared" si="11"/>
        <v/>
      </c>
      <c r="Q37" s="229" t="str">
        <f t="shared" si="12"/>
        <v/>
      </c>
      <c r="R37" s="97" t="str">
        <f t="shared" si="13"/>
        <v/>
      </c>
      <c r="S37" s="80">
        <f t="shared" si="14"/>
        <v>24</v>
      </c>
      <c r="T37" s="80"/>
      <c r="U37" s="229" t="str">
        <f t="shared" si="15"/>
        <v/>
      </c>
      <c r="V37" s="229" t="str">
        <f t="shared" si="16"/>
        <v/>
      </c>
      <c r="W37" s="229" t="str">
        <f t="shared" si="17"/>
        <v/>
      </c>
      <c r="X37" s="97" t="str">
        <f t="shared" si="18"/>
        <v/>
      </c>
    </row>
    <row r="38" spans="1:24" x14ac:dyDescent="0.2">
      <c r="A38" s="80">
        <f t="shared" si="0"/>
        <v>25</v>
      </c>
      <c r="B38" s="80"/>
      <c r="C38" s="229" t="str">
        <f t="shared" si="1"/>
        <v/>
      </c>
      <c r="D38" s="229" t="str">
        <f t="shared" si="2"/>
        <v/>
      </c>
      <c r="E38" s="229" t="str">
        <f t="shared" si="3"/>
        <v/>
      </c>
      <c r="F38" s="97" t="str">
        <f t="shared" si="4"/>
        <v/>
      </c>
      <c r="G38" s="80">
        <f t="shared" si="5"/>
        <v>25</v>
      </c>
      <c r="H38" s="80"/>
      <c r="I38" s="229" t="str">
        <f t="shared" si="6"/>
        <v/>
      </c>
      <c r="J38" s="229" t="str">
        <f t="shared" si="7"/>
        <v/>
      </c>
      <c r="K38" s="229" t="str">
        <f t="shared" si="8"/>
        <v/>
      </c>
      <c r="L38" s="97" t="str">
        <f t="shared" si="9"/>
        <v/>
      </c>
      <c r="M38" s="80">
        <f t="shared" si="10"/>
        <v>25</v>
      </c>
      <c r="N38" s="80"/>
      <c r="O38" s="229" t="str">
        <f t="shared" si="19"/>
        <v/>
      </c>
      <c r="P38" s="229" t="str">
        <f t="shared" si="11"/>
        <v/>
      </c>
      <c r="Q38" s="229" t="str">
        <f t="shared" si="12"/>
        <v/>
      </c>
      <c r="R38" s="97" t="str">
        <f t="shared" si="13"/>
        <v/>
      </c>
      <c r="S38" s="80">
        <f t="shared" si="14"/>
        <v>25</v>
      </c>
      <c r="T38" s="80"/>
      <c r="U38" s="229" t="str">
        <f t="shared" si="15"/>
        <v/>
      </c>
      <c r="V38" s="229" t="str">
        <f t="shared" si="16"/>
        <v/>
      </c>
      <c r="W38" s="229" t="str">
        <f t="shared" si="17"/>
        <v/>
      </c>
      <c r="X38" s="97" t="str">
        <f t="shared" si="18"/>
        <v/>
      </c>
    </row>
    <row r="39" spans="1:24" x14ac:dyDescent="0.2">
      <c r="A39" s="80">
        <f t="shared" si="0"/>
        <v>26</v>
      </c>
      <c r="B39" s="80"/>
      <c r="C39" s="229" t="str">
        <f t="shared" si="1"/>
        <v/>
      </c>
      <c r="D39" s="229" t="str">
        <f t="shared" si="2"/>
        <v/>
      </c>
      <c r="E39" s="229" t="str">
        <f t="shared" si="3"/>
        <v/>
      </c>
      <c r="F39" s="97" t="str">
        <f t="shared" si="4"/>
        <v/>
      </c>
      <c r="G39" s="80">
        <f t="shared" si="5"/>
        <v>26</v>
      </c>
      <c r="H39" s="80"/>
      <c r="I39" s="229" t="str">
        <f t="shared" si="6"/>
        <v/>
      </c>
      <c r="J39" s="229" t="str">
        <f t="shared" si="7"/>
        <v/>
      </c>
      <c r="K39" s="229" t="str">
        <f t="shared" si="8"/>
        <v/>
      </c>
      <c r="L39" s="97" t="str">
        <f t="shared" si="9"/>
        <v/>
      </c>
      <c r="M39" s="80">
        <f t="shared" si="10"/>
        <v>26</v>
      </c>
      <c r="N39" s="80"/>
      <c r="O39" s="229" t="str">
        <f t="shared" si="19"/>
        <v/>
      </c>
      <c r="P39" s="229" t="str">
        <f t="shared" si="11"/>
        <v/>
      </c>
      <c r="Q39" s="229" t="str">
        <f t="shared" si="12"/>
        <v/>
      </c>
      <c r="R39" s="97" t="str">
        <f t="shared" si="13"/>
        <v/>
      </c>
      <c r="S39" s="80">
        <f t="shared" si="14"/>
        <v>26</v>
      </c>
      <c r="T39" s="80"/>
      <c r="U39" s="229" t="str">
        <f t="shared" si="15"/>
        <v/>
      </c>
      <c r="V39" s="229" t="str">
        <f t="shared" si="16"/>
        <v/>
      </c>
      <c r="W39" s="229" t="str">
        <f t="shared" si="17"/>
        <v/>
      </c>
      <c r="X39" s="97" t="str">
        <f t="shared" si="18"/>
        <v/>
      </c>
    </row>
    <row r="40" spans="1:24" x14ac:dyDescent="0.2">
      <c r="A40" s="80">
        <f t="shared" si="0"/>
        <v>27</v>
      </c>
      <c r="B40" s="80"/>
      <c r="C40" s="229" t="str">
        <f t="shared" si="1"/>
        <v/>
      </c>
      <c r="D40" s="229" t="str">
        <f t="shared" si="2"/>
        <v/>
      </c>
      <c r="E40" s="229" t="str">
        <f t="shared" si="3"/>
        <v/>
      </c>
      <c r="F40" s="97" t="str">
        <f t="shared" si="4"/>
        <v/>
      </c>
      <c r="G40" s="80">
        <f t="shared" si="5"/>
        <v>27</v>
      </c>
      <c r="H40" s="80"/>
      <c r="I40" s="229" t="str">
        <f t="shared" si="6"/>
        <v/>
      </c>
      <c r="J40" s="229" t="str">
        <f t="shared" si="7"/>
        <v/>
      </c>
      <c r="K40" s="229" t="str">
        <f t="shared" si="8"/>
        <v/>
      </c>
      <c r="L40" s="97" t="str">
        <f t="shared" si="9"/>
        <v/>
      </c>
      <c r="M40" s="80">
        <f t="shared" si="10"/>
        <v>27</v>
      </c>
      <c r="N40" s="80"/>
      <c r="O40" s="229" t="str">
        <f t="shared" si="19"/>
        <v/>
      </c>
      <c r="P40" s="229" t="str">
        <f t="shared" si="11"/>
        <v/>
      </c>
      <c r="Q40" s="229" t="str">
        <f t="shared" si="12"/>
        <v/>
      </c>
      <c r="R40" s="97" t="str">
        <f t="shared" si="13"/>
        <v/>
      </c>
      <c r="S40" s="80">
        <f t="shared" si="14"/>
        <v>27</v>
      </c>
      <c r="T40" s="80"/>
      <c r="U40" s="229" t="str">
        <f t="shared" si="15"/>
        <v/>
      </c>
      <c r="V40" s="229" t="str">
        <f t="shared" si="16"/>
        <v/>
      </c>
      <c r="W40" s="229" t="str">
        <f t="shared" si="17"/>
        <v/>
      </c>
      <c r="X40" s="97" t="str">
        <f t="shared" si="18"/>
        <v/>
      </c>
    </row>
    <row r="41" spans="1:24" x14ac:dyDescent="0.2">
      <c r="A41" s="80">
        <f t="shared" si="0"/>
        <v>28</v>
      </c>
      <c r="B41" s="80"/>
      <c r="C41" s="229" t="str">
        <f t="shared" si="1"/>
        <v/>
      </c>
      <c r="D41" s="229" t="str">
        <f t="shared" si="2"/>
        <v/>
      </c>
      <c r="E41" s="229" t="str">
        <f t="shared" si="3"/>
        <v/>
      </c>
      <c r="F41" s="97" t="str">
        <f t="shared" si="4"/>
        <v/>
      </c>
      <c r="G41" s="80">
        <f t="shared" si="5"/>
        <v>28</v>
      </c>
      <c r="H41" s="80"/>
      <c r="I41" s="229" t="str">
        <f t="shared" si="6"/>
        <v/>
      </c>
      <c r="J41" s="229" t="str">
        <f t="shared" si="7"/>
        <v/>
      </c>
      <c r="K41" s="229" t="str">
        <f t="shared" si="8"/>
        <v/>
      </c>
      <c r="L41" s="97" t="str">
        <f t="shared" si="9"/>
        <v/>
      </c>
      <c r="M41" s="80">
        <f t="shared" si="10"/>
        <v>28</v>
      </c>
      <c r="N41" s="80"/>
      <c r="O41" s="229" t="str">
        <f t="shared" si="19"/>
        <v/>
      </c>
      <c r="P41" s="229" t="str">
        <f t="shared" si="11"/>
        <v/>
      </c>
      <c r="Q41" s="229" t="str">
        <f t="shared" si="12"/>
        <v/>
      </c>
      <c r="R41" s="97" t="str">
        <f t="shared" si="13"/>
        <v/>
      </c>
      <c r="S41" s="80">
        <f t="shared" si="14"/>
        <v>28</v>
      </c>
      <c r="T41" s="80"/>
      <c r="U41" s="229" t="str">
        <f t="shared" si="15"/>
        <v/>
      </c>
      <c r="V41" s="229" t="str">
        <f t="shared" si="16"/>
        <v/>
      </c>
      <c r="W41" s="229" t="str">
        <f t="shared" si="17"/>
        <v/>
      </c>
      <c r="X41" s="97" t="str">
        <f t="shared" si="18"/>
        <v/>
      </c>
    </row>
    <row r="42" spans="1:24" x14ac:dyDescent="0.2">
      <c r="A42" s="80">
        <f t="shared" si="0"/>
        <v>29</v>
      </c>
      <c r="B42" s="80"/>
      <c r="C42" s="229" t="str">
        <f t="shared" si="1"/>
        <v/>
      </c>
      <c r="D42" s="229" t="str">
        <f t="shared" si="2"/>
        <v/>
      </c>
      <c r="E42" s="229" t="str">
        <f t="shared" si="3"/>
        <v/>
      </c>
      <c r="F42" s="97" t="str">
        <f t="shared" si="4"/>
        <v/>
      </c>
      <c r="G42" s="80">
        <f t="shared" si="5"/>
        <v>29</v>
      </c>
      <c r="H42" s="80"/>
      <c r="I42" s="229" t="str">
        <f t="shared" si="6"/>
        <v/>
      </c>
      <c r="J42" s="229" t="str">
        <f t="shared" si="7"/>
        <v/>
      </c>
      <c r="K42" s="229" t="str">
        <f t="shared" si="8"/>
        <v/>
      </c>
      <c r="L42" s="97" t="str">
        <f t="shared" si="9"/>
        <v/>
      </c>
      <c r="M42" s="80">
        <f t="shared" si="10"/>
        <v>29</v>
      </c>
      <c r="N42" s="80"/>
      <c r="O42" s="229" t="str">
        <f t="shared" si="19"/>
        <v/>
      </c>
      <c r="P42" s="229" t="str">
        <f t="shared" si="11"/>
        <v/>
      </c>
      <c r="Q42" s="229" t="str">
        <f t="shared" si="12"/>
        <v/>
      </c>
      <c r="R42" s="97" t="str">
        <f t="shared" si="13"/>
        <v/>
      </c>
      <c r="S42" s="80">
        <f t="shared" si="14"/>
        <v>29</v>
      </c>
      <c r="T42" s="80"/>
      <c r="U42" s="229" t="str">
        <f t="shared" si="15"/>
        <v/>
      </c>
      <c r="V42" s="229" t="str">
        <f t="shared" si="16"/>
        <v/>
      </c>
      <c r="W42" s="229" t="str">
        <f t="shared" si="17"/>
        <v/>
      </c>
      <c r="X42" s="97" t="str">
        <f t="shared" si="18"/>
        <v/>
      </c>
    </row>
    <row r="43" spans="1:24" x14ac:dyDescent="0.2">
      <c r="A43" s="80">
        <f t="shared" si="0"/>
        <v>30</v>
      </c>
      <c r="B43" s="80"/>
      <c r="C43" s="229" t="str">
        <f t="shared" si="1"/>
        <v/>
      </c>
      <c r="D43" s="229" t="str">
        <f t="shared" si="2"/>
        <v/>
      </c>
      <c r="E43" s="229" t="str">
        <f t="shared" si="3"/>
        <v/>
      </c>
      <c r="F43" s="97" t="str">
        <f t="shared" si="4"/>
        <v/>
      </c>
      <c r="G43" s="80">
        <f t="shared" si="5"/>
        <v>30</v>
      </c>
      <c r="H43" s="80"/>
      <c r="I43" s="229" t="str">
        <f t="shared" si="6"/>
        <v/>
      </c>
      <c r="J43" s="229" t="str">
        <f t="shared" si="7"/>
        <v/>
      </c>
      <c r="K43" s="229" t="str">
        <f t="shared" si="8"/>
        <v/>
      </c>
      <c r="L43" s="97" t="str">
        <f t="shared" si="9"/>
        <v/>
      </c>
      <c r="M43" s="80">
        <f t="shared" si="10"/>
        <v>30</v>
      </c>
      <c r="N43" s="80"/>
      <c r="O43" s="229" t="str">
        <f t="shared" si="19"/>
        <v/>
      </c>
      <c r="P43" s="229" t="str">
        <f t="shared" si="11"/>
        <v/>
      </c>
      <c r="Q43" s="229" t="str">
        <f t="shared" si="12"/>
        <v/>
      </c>
      <c r="R43" s="97" t="str">
        <f t="shared" si="13"/>
        <v/>
      </c>
      <c r="S43" s="80">
        <f t="shared" si="14"/>
        <v>30</v>
      </c>
      <c r="T43" s="80"/>
      <c r="U43" s="229" t="str">
        <f t="shared" si="15"/>
        <v/>
      </c>
      <c r="V43" s="229" t="str">
        <f t="shared" si="16"/>
        <v/>
      </c>
      <c r="W43" s="229" t="str">
        <f t="shared" si="17"/>
        <v/>
      </c>
      <c r="X43" s="97" t="str">
        <f t="shared" si="18"/>
        <v/>
      </c>
    </row>
    <row r="44" spans="1:24" x14ac:dyDescent="0.2">
      <c r="A44" s="80">
        <f t="shared" si="0"/>
        <v>31</v>
      </c>
      <c r="B44" s="80"/>
      <c r="C44" s="229" t="str">
        <f t="shared" si="1"/>
        <v/>
      </c>
      <c r="D44" s="229" t="str">
        <f t="shared" si="2"/>
        <v/>
      </c>
      <c r="E44" s="229" t="str">
        <f t="shared" si="3"/>
        <v/>
      </c>
      <c r="F44" s="97" t="str">
        <f t="shared" si="4"/>
        <v/>
      </c>
      <c r="G44" s="80">
        <f t="shared" si="5"/>
        <v>31</v>
      </c>
      <c r="H44" s="80"/>
      <c r="I44" s="229" t="str">
        <f t="shared" si="6"/>
        <v/>
      </c>
      <c r="J44" s="229" t="str">
        <f t="shared" si="7"/>
        <v/>
      </c>
      <c r="K44" s="229" t="str">
        <f t="shared" si="8"/>
        <v/>
      </c>
      <c r="L44" s="97" t="str">
        <f t="shared" si="9"/>
        <v/>
      </c>
      <c r="M44" s="80">
        <f t="shared" si="10"/>
        <v>31</v>
      </c>
      <c r="N44" s="80"/>
      <c r="O44" s="229" t="str">
        <f t="shared" si="19"/>
        <v/>
      </c>
      <c r="P44" s="229" t="str">
        <f t="shared" si="11"/>
        <v/>
      </c>
      <c r="Q44" s="229" t="str">
        <f t="shared" si="12"/>
        <v/>
      </c>
      <c r="R44" s="97" t="str">
        <f t="shared" si="13"/>
        <v/>
      </c>
      <c r="S44" s="80">
        <f t="shared" si="14"/>
        <v>31</v>
      </c>
      <c r="T44" s="80"/>
      <c r="U44" s="229" t="str">
        <f t="shared" si="15"/>
        <v/>
      </c>
      <c r="V44" s="229" t="str">
        <f t="shared" si="16"/>
        <v/>
      </c>
      <c r="W44" s="229" t="str">
        <f t="shared" si="17"/>
        <v/>
      </c>
      <c r="X44" s="97" t="str">
        <f t="shared" si="18"/>
        <v/>
      </c>
    </row>
    <row r="45" spans="1:24" x14ac:dyDescent="0.2">
      <c r="A45" s="80">
        <f t="shared" si="0"/>
        <v>32</v>
      </c>
      <c r="B45" s="80"/>
      <c r="C45" s="229" t="str">
        <f t="shared" si="1"/>
        <v/>
      </c>
      <c r="D45" s="229" t="str">
        <f t="shared" si="2"/>
        <v/>
      </c>
      <c r="E45" s="229" t="str">
        <f t="shared" si="3"/>
        <v/>
      </c>
      <c r="F45" s="97" t="str">
        <f t="shared" si="4"/>
        <v/>
      </c>
      <c r="G45" s="80">
        <f t="shared" si="5"/>
        <v>32</v>
      </c>
      <c r="H45" s="80"/>
      <c r="I45" s="229" t="str">
        <f t="shared" si="6"/>
        <v/>
      </c>
      <c r="J45" s="229" t="str">
        <f t="shared" si="7"/>
        <v/>
      </c>
      <c r="K45" s="229" t="str">
        <f t="shared" si="8"/>
        <v/>
      </c>
      <c r="L45" s="97" t="str">
        <f t="shared" si="9"/>
        <v/>
      </c>
      <c r="M45" s="80">
        <f t="shared" si="10"/>
        <v>32</v>
      </c>
      <c r="N45" s="80"/>
      <c r="O45" s="229" t="str">
        <f t="shared" si="19"/>
        <v/>
      </c>
      <c r="P45" s="229" t="str">
        <f t="shared" si="11"/>
        <v/>
      </c>
      <c r="Q45" s="229" t="str">
        <f t="shared" si="12"/>
        <v/>
      </c>
      <c r="R45" s="97" t="str">
        <f t="shared" si="13"/>
        <v/>
      </c>
      <c r="S45" s="80">
        <f t="shared" si="14"/>
        <v>32</v>
      </c>
      <c r="T45" s="80"/>
      <c r="U45" s="229" t="str">
        <f t="shared" si="15"/>
        <v/>
      </c>
      <c r="V45" s="229" t="str">
        <f t="shared" si="16"/>
        <v/>
      </c>
      <c r="W45" s="229" t="str">
        <f t="shared" si="17"/>
        <v/>
      </c>
      <c r="X45" s="97" t="str">
        <f t="shared" si="18"/>
        <v/>
      </c>
    </row>
    <row r="46" spans="1:24" x14ac:dyDescent="0.2">
      <c r="A46" s="80">
        <f t="shared" si="0"/>
        <v>33</v>
      </c>
      <c r="B46" s="80"/>
      <c r="C46" s="229" t="str">
        <f t="shared" si="1"/>
        <v/>
      </c>
      <c r="D46" s="229" t="str">
        <f t="shared" si="2"/>
        <v/>
      </c>
      <c r="E46" s="229" t="str">
        <f t="shared" si="3"/>
        <v/>
      </c>
      <c r="F46" s="97" t="str">
        <f t="shared" si="4"/>
        <v/>
      </c>
      <c r="G46" s="80">
        <f t="shared" si="5"/>
        <v>33</v>
      </c>
      <c r="H46" s="80"/>
      <c r="I46" s="229" t="str">
        <f t="shared" si="6"/>
        <v/>
      </c>
      <c r="J46" s="229" t="str">
        <f t="shared" si="7"/>
        <v/>
      </c>
      <c r="K46" s="229" t="str">
        <f t="shared" si="8"/>
        <v/>
      </c>
      <c r="L46" s="97" t="str">
        <f t="shared" si="9"/>
        <v/>
      </c>
      <c r="M46" s="80">
        <f t="shared" si="10"/>
        <v>33</v>
      </c>
      <c r="N46" s="80"/>
      <c r="O46" s="229" t="str">
        <f t="shared" si="19"/>
        <v/>
      </c>
      <c r="P46" s="229" t="str">
        <f t="shared" si="11"/>
        <v/>
      </c>
      <c r="Q46" s="229" t="str">
        <f t="shared" si="12"/>
        <v/>
      </c>
      <c r="R46" s="97" t="str">
        <f t="shared" si="13"/>
        <v/>
      </c>
      <c r="S46" s="80">
        <f t="shared" si="14"/>
        <v>33</v>
      </c>
      <c r="T46" s="80"/>
      <c r="U46" s="229" t="str">
        <f t="shared" si="15"/>
        <v/>
      </c>
      <c r="V46" s="229" t="str">
        <f t="shared" si="16"/>
        <v/>
      </c>
      <c r="W46" s="229" t="str">
        <f t="shared" si="17"/>
        <v/>
      </c>
      <c r="X46" s="97" t="str">
        <f t="shared" si="18"/>
        <v/>
      </c>
    </row>
    <row r="47" spans="1:24" x14ac:dyDescent="0.2">
      <c r="A47" s="80">
        <f t="shared" si="0"/>
        <v>34</v>
      </c>
      <c r="B47" s="80"/>
      <c r="C47" s="229" t="str">
        <f t="shared" si="1"/>
        <v/>
      </c>
      <c r="D47" s="229" t="str">
        <f t="shared" si="2"/>
        <v/>
      </c>
      <c r="E47" s="229" t="str">
        <f t="shared" si="3"/>
        <v/>
      </c>
      <c r="F47" s="97" t="str">
        <f t="shared" si="4"/>
        <v/>
      </c>
      <c r="G47" s="80">
        <f t="shared" si="5"/>
        <v>34</v>
      </c>
      <c r="H47" s="80"/>
      <c r="I47" s="229" t="str">
        <f t="shared" si="6"/>
        <v/>
      </c>
      <c r="J47" s="229" t="str">
        <f t="shared" si="7"/>
        <v/>
      </c>
      <c r="K47" s="229" t="str">
        <f t="shared" si="8"/>
        <v/>
      </c>
      <c r="L47" s="97" t="str">
        <f t="shared" si="9"/>
        <v/>
      </c>
      <c r="M47" s="80">
        <f t="shared" si="10"/>
        <v>34</v>
      </c>
      <c r="N47" s="80"/>
      <c r="O47" s="229" t="str">
        <f t="shared" si="19"/>
        <v/>
      </c>
      <c r="P47" s="229" t="str">
        <f t="shared" si="11"/>
        <v/>
      </c>
      <c r="Q47" s="229" t="str">
        <f t="shared" si="12"/>
        <v/>
      </c>
      <c r="R47" s="97" t="str">
        <f t="shared" si="13"/>
        <v/>
      </c>
      <c r="S47" s="80">
        <f t="shared" si="14"/>
        <v>34</v>
      </c>
      <c r="T47" s="80"/>
      <c r="U47" s="229" t="str">
        <f t="shared" si="15"/>
        <v/>
      </c>
      <c r="V47" s="229" t="str">
        <f t="shared" si="16"/>
        <v/>
      </c>
      <c r="W47" s="229" t="str">
        <f t="shared" si="17"/>
        <v/>
      </c>
      <c r="X47" s="97" t="str">
        <f t="shared" si="18"/>
        <v/>
      </c>
    </row>
    <row r="48" spans="1:24" x14ac:dyDescent="0.2">
      <c r="A48" s="80">
        <f t="shared" si="0"/>
        <v>35</v>
      </c>
      <c r="B48" s="80"/>
      <c r="C48" s="229" t="str">
        <f t="shared" si="1"/>
        <v/>
      </c>
      <c r="D48" s="229" t="str">
        <f t="shared" si="2"/>
        <v/>
      </c>
      <c r="E48" s="229" t="str">
        <f t="shared" si="3"/>
        <v/>
      </c>
      <c r="F48" s="97" t="str">
        <f t="shared" si="4"/>
        <v/>
      </c>
      <c r="G48" s="80">
        <f t="shared" si="5"/>
        <v>35</v>
      </c>
      <c r="H48" s="80"/>
      <c r="I48" s="229" t="str">
        <f t="shared" si="6"/>
        <v/>
      </c>
      <c r="J48" s="229" t="str">
        <f t="shared" si="7"/>
        <v/>
      </c>
      <c r="K48" s="229" t="str">
        <f t="shared" si="8"/>
        <v/>
      </c>
      <c r="L48" s="97" t="str">
        <f t="shared" si="9"/>
        <v/>
      </c>
      <c r="M48" s="80">
        <f t="shared" si="10"/>
        <v>35</v>
      </c>
      <c r="N48" s="80"/>
      <c r="O48" s="229" t="str">
        <f t="shared" si="19"/>
        <v/>
      </c>
      <c r="P48" s="229" t="str">
        <f t="shared" si="11"/>
        <v/>
      </c>
      <c r="Q48" s="229" t="str">
        <f t="shared" si="12"/>
        <v/>
      </c>
      <c r="R48" s="97" t="str">
        <f t="shared" si="13"/>
        <v/>
      </c>
      <c r="S48" s="80">
        <f t="shared" si="14"/>
        <v>35</v>
      </c>
      <c r="T48" s="80"/>
      <c r="U48" s="229" t="str">
        <f t="shared" si="15"/>
        <v/>
      </c>
      <c r="V48" s="229" t="str">
        <f t="shared" si="16"/>
        <v/>
      </c>
      <c r="W48" s="229" t="str">
        <f t="shared" si="17"/>
        <v/>
      </c>
      <c r="X48" s="97" t="str">
        <f t="shared" si="18"/>
        <v/>
      </c>
    </row>
    <row r="49" spans="1:24" x14ac:dyDescent="0.2">
      <c r="A49" s="80">
        <f t="shared" si="0"/>
        <v>36</v>
      </c>
      <c r="B49" s="80"/>
      <c r="C49" s="229" t="str">
        <f t="shared" si="1"/>
        <v/>
      </c>
      <c r="D49" s="229" t="str">
        <f t="shared" si="2"/>
        <v/>
      </c>
      <c r="E49" s="229" t="str">
        <f t="shared" si="3"/>
        <v/>
      </c>
      <c r="F49" s="97" t="str">
        <f t="shared" si="4"/>
        <v/>
      </c>
      <c r="G49" s="80">
        <f t="shared" si="5"/>
        <v>36</v>
      </c>
      <c r="H49" s="80"/>
      <c r="I49" s="229" t="str">
        <f t="shared" si="6"/>
        <v/>
      </c>
      <c r="J49" s="229" t="str">
        <f t="shared" si="7"/>
        <v/>
      </c>
      <c r="K49" s="229" t="str">
        <f t="shared" si="8"/>
        <v/>
      </c>
      <c r="L49" s="97" t="str">
        <f t="shared" si="9"/>
        <v/>
      </c>
      <c r="M49" s="80">
        <f t="shared" si="10"/>
        <v>36</v>
      </c>
      <c r="N49" s="80"/>
      <c r="O49" s="229" t="str">
        <f t="shared" si="19"/>
        <v/>
      </c>
      <c r="P49" s="229" t="str">
        <f t="shared" si="11"/>
        <v/>
      </c>
      <c r="Q49" s="229" t="str">
        <f t="shared" si="12"/>
        <v/>
      </c>
      <c r="R49" s="97" t="str">
        <f t="shared" si="13"/>
        <v/>
      </c>
      <c r="S49" s="80">
        <f t="shared" si="14"/>
        <v>36</v>
      </c>
      <c r="T49" s="80"/>
      <c r="U49" s="229" t="str">
        <f t="shared" si="15"/>
        <v/>
      </c>
      <c r="V49" s="229" t="str">
        <f t="shared" si="16"/>
        <v/>
      </c>
      <c r="W49" s="229" t="str">
        <f t="shared" si="17"/>
        <v/>
      </c>
      <c r="X49" s="97" t="str">
        <f t="shared" si="18"/>
        <v/>
      </c>
    </row>
    <row r="50" spans="1:24" x14ac:dyDescent="0.2">
      <c r="A50" s="80">
        <f t="shared" si="0"/>
        <v>37</v>
      </c>
      <c r="B50" s="80"/>
      <c r="C50" s="229" t="str">
        <f t="shared" si="1"/>
        <v/>
      </c>
      <c r="D50" s="229" t="str">
        <f t="shared" si="2"/>
        <v/>
      </c>
      <c r="E50" s="229" t="str">
        <f t="shared" si="3"/>
        <v/>
      </c>
      <c r="F50" s="97" t="str">
        <f t="shared" si="4"/>
        <v/>
      </c>
      <c r="G50" s="80">
        <f t="shared" si="5"/>
        <v>37</v>
      </c>
      <c r="H50" s="80"/>
      <c r="I50" s="229" t="str">
        <f t="shared" si="6"/>
        <v/>
      </c>
      <c r="J50" s="229" t="str">
        <f t="shared" si="7"/>
        <v/>
      </c>
      <c r="K50" s="229" t="str">
        <f t="shared" si="8"/>
        <v/>
      </c>
      <c r="L50" s="97" t="str">
        <f t="shared" si="9"/>
        <v/>
      </c>
      <c r="M50" s="80">
        <f t="shared" si="10"/>
        <v>37</v>
      </c>
      <c r="N50" s="80"/>
      <c r="O50" s="229" t="str">
        <f t="shared" si="19"/>
        <v/>
      </c>
      <c r="P50" s="229" t="str">
        <f t="shared" si="11"/>
        <v/>
      </c>
      <c r="Q50" s="229" t="str">
        <f t="shared" si="12"/>
        <v/>
      </c>
      <c r="R50" s="97" t="str">
        <f t="shared" si="13"/>
        <v/>
      </c>
      <c r="S50" s="80">
        <f t="shared" si="14"/>
        <v>37</v>
      </c>
      <c r="T50" s="80"/>
      <c r="U50" s="229" t="str">
        <f t="shared" si="15"/>
        <v/>
      </c>
      <c r="V50" s="229" t="str">
        <f t="shared" si="16"/>
        <v/>
      </c>
      <c r="W50" s="229" t="str">
        <f t="shared" si="17"/>
        <v/>
      </c>
      <c r="X50" s="97" t="str">
        <f t="shared" si="18"/>
        <v/>
      </c>
    </row>
    <row r="51" spans="1:24" x14ac:dyDescent="0.2">
      <c r="A51" s="80">
        <f t="shared" si="0"/>
        <v>38</v>
      </c>
      <c r="B51" s="80"/>
      <c r="C51" s="229" t="str">
        <f t="shared" si="1"/>
        <v/>
      </c>
      <c r="D51" s="229" t="str">
        <f t="shared" si="2"/>
        <v/>
      </c>
      <c r="E51" s="229" t="str">
        <f t="shared" si="3"/>
        <v/>
      </c>
      <c r="F51" s="97" t="str">
        <f t="shared" si="4"/>
        <v/>
      </c>
      <c r="G51" s="80">
        <f t="shared" si="5"/>
        <v>38</v>
      </c>
      <c r="H51" s="80"/>
      <c r="I51" s="229" t="str">
        <f t="shared" si="6"/>
        <v/>
      </c>
      <c r="J51" s="229" t="str">
        <f t="shared" si="7"/>
        <v/>
      </c>
      <c r="K51" s="229" t="str">
        <f t="shared" si="8"/>
        <v/>
      </c>
      <c r="L51" s="97" t="str">
        <f t="shared" si="9"/>
        <v/>
      </c>
      <c r="M51" s="80">
        <f t="shared" si="10"/>
        <v>38</v>
      </c>
      <c r="N51" s="80"/>
      <c r="O51" s="229" t="str">
        <f t="shared" si="19"/>
        <v/>
      </c>
      <c r="P51" s="229" t="str">
        <f t="shared" si="11"/>
        <v/>
      </c>
      <c r="Q51" s="229" t="str">
        <f t="shared" si="12"/>
        <v/>
      </c>
      <c r="R51" s="97" t="str">
        <f t="shared" si="13"/>
        <v/>
      </c>
      <c r="S51" s="80">
        <f t="shared" si="14"/>
        <v>38</v>
      </c>
      <c r="T51" s="80"/>
      <c r="U51" s="229" t="str">
        <f t="shared" si="15"/>
        <v/>
      </c>
      <c r="V51" s="229" t="str">
        <f t="shared" si="16"/>
        <v/>
      </c>
      <c r="W51" s="229" t="str">
        <f t="shared" si="17"/>
        <v/>
      </c>
      <c r="X51" s="97" t="str">
        <f t="shared" si="18"/>
        <v/>
      </c>
    </row>
    <row r="52" spans="1:24" x14ac:dyDescent="0.2">
      <c r="A52" s="80">
        <f t="shared" si="0"/>
        <v>39</v>
      </c>
      <c r="B52" s="80"/>
      <c r="C52" s="229" t="str">
        <f t="shared" si="1"/>
        <v/>
      </c>
      <c r="D52" s="229" t="str">
        <f t="shared" si="2"/>
        <v/>
      </c>
      <c r="E52" s="229" t="str">
        <f t="shared" si="3"/>
        <v/>
      </c>
      <c r="F52" s="97" t="str">
        <f t="shared" si="4"/>
        <v/>
      </c>
      <c r="G52" s="80">
        <f t="shared" si="5"/>
        <v>39</v>
      </c>
      <c r="H52" s="80"/>
      <c r="I52" s="229" t="str">
        <f t="shared" si="6"/>
        <v/>
      </c>
      <c r="J52" s="229" t="str">
        <f t="shared" si="7"/>
        <v/>
      </c>
      <c r="K52" s="229" t="str">
        <f t="shared" si="8"/>
        <v/>
      </c>
      <c r="L52" s="97" t="str">
        <f t="shared" si="9"/>
        <v/>
      </c>
      <c r="M52" s="80">
        <f t="shared" si="10"/>
        <v>39</v>
      </c>
      <c r="N52" s="80"/>
      <c r="O52" s="229" t="str">
        <f t="shared" si="19"/>
        <v/>
      </c>
      <c r="P52" s="229" t="str">
        <f t="shared" si="11"/>
        <v/>
      </c>
      <c r="Q52" s="229" t="str">
        <f t="shared" si="12"/>
        <v/>
      </c>
      <c r="R52" s="97" t="str">
        <f t="shared" si="13"/>
        <v/>
      </c>
      <c r="S52" s="80">
        <f t="shared" si="14"/>
        <v>39</v>
      </c>
      <c r="T52" s="80"/>
      <c r="U52" s="229" t="str">
        <f t="shared" si="15"/>
        <v/>
      </c>
      <c r="V52" s="229" t="str">
        <f t="shared" si="16"/>
        <v/>
      </c>
      <c r="W52" s="229" t="str">
        <f t="shared" si="17"/>
        <v/>
      </c>
      <c r="X52" s="97" t="str">
        <f t="shared" si="18"/>
        <v/>
      </c>
    </row>
    <row r="53" spans="1:24" x14ac:dyDescent="0.2">
      <c r="A53" s="80">
        <f t="shared" si="0"/>
        <v>40</v>
      </c>
      <c r="B53" s="80"/>
      <c r="C53" s="229" t="str">
        <f t="shared" si="1"/>
        <v/>
      </c>
      <c r="D53" s="229" t="str">
        <f t="shared" si="2"/>
        <v/>
      </c>
      <c r="E53" s="229" t="str">
        <f t="shared" si="3"/>
        <v/>
      </c>
      <c r="F53" s="97" t="str">
        <f t="shared" si="4"/>
        <v/>
      </c>
      <c r="G53" s="80">
        <f t="shared" si="5"/>
        <v>40</v>
      </c>
      <c r="H53" s="80"/>
      <c r="I53" s="229" t="str">
        <f t="shared" si="6"/>
        <v/>
      </c>
      <c r="J53" s="229" t="str">
        <f t="shared" si="7"/>
        <v/>
      </c>
      <c r="K53" s="229" t="str">
        <f t="shared" si="8"/>
        <v/>
      </c>
      <c r="L53" s="97" t="str">
        <f t="shared" si="9"/>
        <v/>
      </c>
      <c r="M53" s="80">
        <f t="shared" si="10"/>
        <v>40</v>
      </c>
      <c r="N53" s="80"/>
      <c r="O53" s="229" t="str">
        <f t="shared" si="19"/>
        <v/>
      </c>
      <c r="P53" s="229" t="str">
        <f t="shared" si="11"/>
        <v/>
      </c>
      <c r="Q53" s="229" t="str">
        <f t="shared" si="12"/>
        <v/>
      </c>
      <c r="R53" s="97" t="str">
        <f t="shared" si="13"/>
        <v/>
      </c>
      <c r="S53" s="80">
        <f t="shared" si="14"/>
        <v>40</v>
      </c>
      <c r="T53" s="80"/>
      <c r="U53" s="229" t="str">
        <f t="shared" si="15"/>
        <v/>
      </c>
      <c r="V53" s="229" t="str">
        <f t="shared" si="16"/>
        <v/>
      </c>
      <c r="W53" s="229" t="str">
        <f t="shared" si="17"/>
        <v/>
      </c>
      <c r="X53" s="97" t="str">
        <f t="shared" si="18"/>
        <v/>
      </c>
    </row>
    <row r="54" spans="1:24" x14ac:dyDescent="0.2">
      <c r="A54" s="80">
        <f t="shared" si="0"/>
        <v>41</v>
      </c>
      <c r="B54" s="80"/>
      <c r="C54" s="229" t="str">
        <f t="shared" si="1"/>
        <v/>
      </c>
      <c r="D54" s="229" t="str">
        <f t="shared" si="2"/>
        <v/>
      </c>
      <c r="E54" s="229" t="str">
        <f t="shared" si="3"/>
        <v/>
      </c>
      <c r="F54" s="97" t="str">
        <f t="shared" si="4"/>
        <v/>
      </c>
      <c r="G54" s="80">
        <f t="shared" si="5"/>
        <v>41</v>
      </c>
      <c r="H54" s="80"/>
      <c r="I54" s="229" t="str">
        <f t="shared" si="6"/>
        <v/>
      </c>
      <c r="J54" s="229" t="str">
        <f t="shared" si="7"/>
        <v/>
      </c>
      <c r="K54" s="229" t="str">
        <f t="shared" si="8"/>
        <v/>
      </c>
      <c r="L54" s="97" t="str">
        <f t="shared" si="9"/>
        <v/>
      </c>
      <c r="M54" s="80">
        <f t="shared" si="10"/>
        <v>41</v>
      </c>
      <c r="N54" s="80"/>
      <c r="O54" s="229" t="str">
        <f t="shared" si="19"/>
        <v/>
      </c>
      <c r="P54" s="229" t="str">
        <f t="shared" si="11"/>
        <v/>
      </c>
      <c r="Q54" s="229" t="str">
        <f t="shared" si="12"/>
        <v/>
      </c>
      <c r="R54" s="97" t="str">
        <f t="shared" si="13"/>
        <v/>
      </c>
      <c r="S54" s="80">
        <f t="shared" si="14"/>
        <v>41</v>
      </c>
      <c r="T54" s="80"/>
      <c r="U54" s="229" t="str">
        <f t="shared" si="15"/>
        <v/>
      </c>
      <c r="V54" s="229" t="str">
        <f t="shared" si="16"/>
        <v/>
      </c>
      <c r="W54" s="229" t="str">
        <f t="shared" si="17"/>
        <v/>
      </c>
      <c r="X54" s="97" t="str">
        <f t="shared" si="18"/>
        <v/>
      </c>
    </row>
    <row r="55" spans="1:24" x14ac:dyDescent="0.2">
      <c r="A55" s="80">
        <f t="shared" si="0"/>
        <v>42</v>
      </c>
      <c r="B55" s="80"/>
      <c r="C55" s="229" t="str">
        <f t="shared" si="1"/>
        <v/>
      </c>
      <c r="D55" s="229" t="str">
        <f t="shared" si="2"/>
        <v/>
      </c>
      <c r="E55" s="229" t="str">
        <f t="shared" si="3"/>
        <v/>
      </c>
      <c r="F55" s="97" t="str">
        <f t="shared" si="4"/>
        <v/>
      </c>
      <c r="G55" s="80">
        <f t="shared" si="5"/>
        <v>42</v>
      </c>
      <c r="H55" s="80"/>
      <c r="I55" s="229" t="str">
        <f t="shared" si="6"/>
        <v/>
      </c>
      <c r="J55" s="229" t="str">
        <f t="shared" si="7"/>
        <v/>
      </c>
      <c r="K55" s="229" t="str">
        <f t="shared" si="8"/>
        <v/>
      </c>
      <c r="L55" s="97" t="str">
        <f t="shared" si="9"/>
        <v/>
      </c>
      <c r="M55" s="80">
        <f t="shared" si="10"/>
        <v>42</v>
      </c>
      <c r="N55" s="80"/>
      <c r="O55" s="229" t="str">
        <f t="shared" si="19"/>
        <v/>
      </c>
      <c r="P55" s="229" t="str">
        <f t="shared" si="11"/>
        <v/>
      </c>
      <c r="Q55" s="229" t="str">
        <f t="shared" si="12"/>
        <v/>
      </c>
      <c r="R55" s="97" t="str">
        <f t="shared" si="13"/>
        <v/>
      </c>
      <c r="S55" s="80">
        <f t="shared" si="14"/>
        <v>42</v>
      </c>
      <c r="T55" s="80"/>
      <c r="U55" s="229" t="str">
        <f t="shared" si="15"/>
        <v/>
      </c>
      <c r="V55" s="229" t="str">
        <f t="shared" si="16"/>
        <v/>
      </c>
      <c r="W55" s="229" t="str">
        <f t="shared" si="17"/>
        <v/>
      </c>
      <c r="X55" s="97" t="str">
        <f t="shared" si="18"/>
        <v/>
      </c>
    </row>
    <row r="56" spans="1:24" x14ac:dyDescent="0.2">
      <c r="A56" s="80">
        <f t="shared" si="0"/>
        <v>43</v>
      </c>
      <c r="B56" s="80"/>
      <c r="C56" s="229" t="str">
        <f t="shared" si="1"/>
        <v/>
      </c>
      <c r="D56" s="229" t="str">
        <f t="shared" si="2"/>
        <v/>
      </c>
      <c r="E56" s="229" t="str">
        <f t="shared" si="3"/>
        <v/>
      </c>
      <c r="F56" s="97" t="str">
        <f t="shared" si="4"/>
        <v/>
      </c>
      <c r="G56" s="80">
        <f t="shared" si="5"/>
        <v>43</v>
      </c>
      <c r="H56" s="80"/>
      <c r="I56" s="229" t="str">
        <f t="shared" si="6"/>
        <v/>
      </c>
      <c r="J56" s="229" t="str">
        <f t="shared" si="7"/>
        <v/>
      </c>
      <c r="K56" s="229" t="str">
        <f t="shared" si="8"/>
        <v/>
      </c>
      <c r="L56" s="97" t="str">
        <f t="shared" si="9"/>
        <v/>
      </c>
      <c r="M56" s="80">
        <f t="shared" si="10"/>
        <v>43</v>
      </c>
      <c r="N56" s="80"/>
      <c r="O56" s="229" t="str">
        <f t="shared" si="19"/>
        <v/>
      </c>
      <c r="P56" s="229" t="str">
        <f t="shared" si="11"/>
        <v/>
      </c>
      <c r="Q56" s="229" t="str">
        <f t="shared" si="12"/>
        <v/>
      </c>
      <c r="R56" s="97" t="str">
        <f t="shared" si="13"/>
        <v/>
      </c>
      <c r="S56" s="80">
        <f t="shared" si="14"/>
        <v>43</v>
      </c>
      <c r="T56" s="80"/>
      <c r="U56" s="229" t="str">
        <f t="shared" si="15"/>
        <v/>
      </c>
      <c r="V56" s="229" t="str">
        <f t="shared" si="16"/>
        <v/>
      </c>
      <c r="W56" s="229" t="str">
        <f t="shared" si="17"/>
        <v/>
      </c>
      <c r="X56" s="97" t="str">
        <f t="shared" si="18"/>
        <v/>
      </c>
    </row>
    <row r="57" spans="1:24" x14ac:dyDescent="0.2">
      <c r="A57" s="80">
        <f t="shared" si="0"/>
        <v>44</v>
      </c>
      <c r="B57" s="80"/>
      <c r="C57" s="229" t="str">
        <f t="shared" si="1"/>
        <v/>
      </c>
      <c r="D57" s="229" t="str">
        <f t="shared" si="2"/>
        <v/>
      </c>
      <c r="E57" s="229" t="str">
        <f t="shared" si="3"/>
        <v/>
      </c>
      <c r="F57" s="97" t="str">
        <f t="shared" si="4"/>
        <v/>
      </c>
      <c r="G57" s="80">
        <f t="shared" si="5"/>
        <v>44</v>
      </c>
      <c r="H57" s="80"/>
      <c r="I57" s="229" t="str">
        <f t="shared" si="6"/>
        <v/>
      </c>
      <c r="J57" s="229" t="str">
        <f t="shared" si="7"/>
        <v/>
      </c>
      <c r="K57" s="229" t="str">
        <f t="shared" si="8"/>
        <v/>
      </c>
      <c r="L57" s="97" t="str">
        <f t="shared" si="9"/>
        <v/>
      </c>
      <c r="M57" s="80">
        <f t="shared" si="10"/>
        <v>44</v>
      </c>
      <c r="N57" s="80"/>
      <c r="O57" s="229" t="str">
        <f t="shared" si="19"/>
        <v/>
      </c>
      <c r="P57" s="229" t="str">
        <f t="shared" si="11"/>
        <v/>
      </c>
      <c r="Q57" s="229" t="str">
        <f t="shared" si="12"/>
        <v/>
      </c>
      <c r="R57" s="97" t="str">
        <f t="shared" si="13"/>
        <v/>
      </c>
      <c r="S57" s="80">
        <f t="shared" si="14"/>
        <v>44</v>
      </c>
      <c r="T57" s="80"/>
      <c r="U57" s="229" t="str">
        <f t="shared" si="15"/>
        <v/>
      </c>
      <c r="V57" s="229" t="str">
        <f t="shared" si="16"/>
        <v/>
      </c>
      <c r="W57" s="229" t="str">
        <f t="shared" si="17"/>
        <v/>
      </c>
      <c r="X57" s="97" t="str">
        <f t="shared" si="18"/>
        <v/>
      </c>
    </row>
    <row r="58" spans="1:24" x14ac:dyDescent="0.2">
      <c r="A58" s="80">
        <f t="shared" si="0"/>
        <v>45</v>
      </c>
      <c r="B58" s="80"/>
      <c r="C58" s="229" t="str">
        <f t="shared" si="1"/>
        <v/>
      </c>
      <c r="D58" s="229" t="str">
        <f t="shared" si="2"/>
        <v/>
      </c>
      <c r="E58" s="229" t="str">
        <f t="shared" si="3"/>
        <v/>
      </c>
      <c r="F58" s="97" t="str">
        <f t="shared" si="4"/>
        <v/>
      </c>
      <c r="G58" s="80">
        <f t="shared" si="5"/>
        <v>45</v>
      </c>
      <c r="H58" s="80"/>
      <c r="I58" s="229" t="str">
        <f t="shared" si="6"/>
        <v/>
      </c>
      <c r="J58" s="229" t="str">
        <f t="shared" si="7"/>
        <v/>
      </c>
      <c r="K58" s="229" t="str">
        <f t="shared" si="8"/>
        <v/>
      </c>
      <c r="L58" s="97" t="str">
        <f t="shared" si="9"/>
        <v/>
      </c>
      <c r="M58" s="80">
        <f t="shared" si="10"/>
        <v>45</v>
      </c>
      <c r="N58" s="80"/>
      <c r="O58" s="229" t="str">
        <f t="shared" si="19"/>
        <v/>
      </c>
      <c r="P58" s="229" t="str">
        <f t="shared" si="11"/>
        <v/>
      </c>
      <c r="Q58" s="229" t="str">
        <f t="shared" si="12"/>
        <v/>
      </c>
      <c r="R58" s="97" t="str">
        <f t="shared" si="13"/>
        <v/>
      </c>
      <c r="S58" s="80">
        <f t="shared" si="14"/>
        <v>45</v>
      </c>
      <c r="T58" s="80"/>
      <c r="U58" s="229" t="str">
        <f t="shared" si="15"/>
        <v/>
      </c>
      <c r="V58" s="229" t="str">
        <f t="shared" si="16"/>
        <v/>
      </c>
      <c r="W58" s="229" t="str">
        <f t="shared" si="17"/>
        <v/>
      </c>
      <c r="X58" s="97" t="str">
        <f t="shared" si="18"/>
        <v/>
      </c>
    </row>
    <row r="59" spans="1:24" x14ac:dyDescent="0.2">
      <c r="A59" s="80">
        <f t="shared" si="0"/>
        <v>46</v>
      </c>
      <c r="B59" s="80"/>
      <c r="C59" s="229" t="str">
        <f t="shared" si="1"/>
        <v/>
      </c>
      <c r="D59" s="229" t="str">
        <f t="shared" si="2"/>
        <v/>
      </c>
      <c r="E59" s="229" t="str">
        <f t="shared" si="3"/>
        <v/>
      </c>
      <c r="F59" s="97" t="str">
        <f t="shared" si="4"/>
        <v/>
      </c>
      <c r="G59" s="80">
        <f t="shared" si="5"/>
        <v>46</v>
      </c>
      <c r="H59" s="80"/>
      <c r="I59" s="229" t="str">
        <f t="shared" si="6"/>
        <v/>
      </c>
      <c r="J59" s="229" t="str">
        <f t="shared" si="7"/>
        <v/>
      </c>
      <c r="K59" s="229" t="str">
        <f t="shared" si="8"/>
        <v/>
      </c>
      <c r="L59" s="97" t="str">
        <f t="shared" si="9"/>
        <v/>
      </c>
      <c r="M59" s="80">
        <f t="shared" si="10"/>
        <v>46</v>
      </c>
      <c r="N59" s="80"/>
      <c r="O59" s="229" t="str">
        <f t="shared" si="19"/>
        <v/>
      </c>
      <c r="P59" s="229" t="str">
        <f t="shared" si="11"/>
        <v/>
      </c>
      <c r="Q59" s="229" t="str">
        <f t="shared" si="12"/>
        <v/>
      </c>
      <c r="R59" s="97" t="str">
        <f t="shared" si="13"/>
        <v/>
      </c>
      <c r="S59" s="80">
        <f t="shared" si="14"/>
        <v>46</v>
      </c>
      <c r="T59" s="80"/>
      <c r="U59" s="229" t="str">
        <f t="shared" si="15"/>
        <v/>
      </c>
      <c r="V59" s="229" t="str">
        <f t="shared" si="16"/>
        <v/>
      </c>
      <c r="W59" s="229" t="str">
        <f t="shared" si="17"/>
        <v/>
      </c>
      <c r="X59" s="97" t="str">
        <f t="shared" si="18"/>
        <v/>
      </c>
    </row>
    <row r="60" spans="1:24" x14ac:dyDescent="0.2">
      <c r="A60" s="80">
        <f t="shared" si="0"/>
        <v>47</v>
      </c>
      <c r="B60" s="80"/>
      <c r="C60" s="229" t="str">
        <f t="shared" si="1"/>
        <v/>
      </c>
      <c r="D60" s="229" t="str">
        <f t="shared" si="2"/>
        <v/>
      </c>
      <c r="E60" s="229" t="str">
        <f t="shared" si="3"/>
        <v/>
      </c>
      <c r="F60" s="97" t="str">
        <f t="shared" si="4"/>
        <v/>
      </c>
      <c r="G60" s="80">
        <f t="shared" si="5"/>
        <v>47</v>
      </c>
      <c r="H60" s="80"/>
      <c r="I60" s="229" t="str">
        <f t="shared" si="6"/>
        <v/>
      </c>
      <c r="J60" s="229" t="str">
        <f t="shared" si="7"/>
        <v/>
      </c>
      <c r="K60" s="229" t="str">
        <f t="shared" si="8"/>
        <v/>
      </c>
      <c r="L60" s="97" t="str">
        <f t="shared" si="9"/>
        <v/>
      </c>
      <c r="M60" s="80">
        <f t="shared" si="10"/>
        <v>47</v>
      </c>
      <c r="N60" s="80"/>
      <c r="O60" s="229" t="str">
        <f t="shared" si="19"/>
        <v/>
      </c>
      <c r="P60" s="229" t="str">
        <f t="shared" si="11"/>
        <v/>
      </c>
      <c r="Q60" s="229" t="str">
        <f t="shared" si="12"/>
        <v/>
      </c>
      <c r="R60" s="97" t="str">
        <f t="shared" si="13"/>
        <v/>
      </c>
      <c r="S60" s="80">
        <f t="shared" si="14"/>
        <v>47</v>
      </c>
      <c r="T60" s="80"/>
      <c r="U60" s="229" t="str">
        <f t="shared" si="15"/>
        <v/>
      </c>
      <c r="V60" s="229" t="str">
        <f t="shared" si="16"/>
        <v/>
      </c>
      <c r="W60" s="229" t="str">
        <f t="shared" si="17"/>
        <v/>
      </c>
      <c r="X60" s="97" t="str">
        <f t="shared" si="18"/>
        <v/>
      </c>
    </row>
    <row r="61" spans="1:24" x14ac:dyDescent="0.2">
      <c r="A61" s="80">
        <f t="shared" si="0"/>
        <v>48</v>
      </c>
      <c r="B61" s="80"/>
      <c r="C61" s="229" t="str">
        <f t="shared" si="1"/>
        <v/>
      </c>
      <c r="D61" s="229" t="str">
        <f t="shared" si="2"/>
        <v/>
      </c>
      <c r="E61" s="229" t="str">
        <f t="shared" si="3"/>
        <v/>
      </c>
      <c r="F61" s="97" t="str">
        <f t="shared" si="4"/>
        <v/>
      </c>
      <c r="G61" s="80">
        <f t="shared" si="5"/>
        <v>48</v>
      </c>
      <c r="H61" s="80"/>
      <c r="I61" s="229" t="str">
        <f t="shared" si="6"/>
        <v/>
      </c>
      <c r="J61" s="229" t="str">
        <f t="shared" si="7"/>
        <v/>
      </c>
      <c r="K61" s="229" t="str">
        <f t="shared" si="8"/>
        <v/>
      </c>
      <c r="L61" s="97" t="str">
        <f t="shared" si="9"/>
        <v/>
      </c>
      <c r="M61" s="80">
        <f t="shared" si="10"/>
        <v>48</v>
      </c>
      <c r="N61" s="80"/>
      <c r="O61" s="229" t="str">
        <f t="shared" si="19"/>
        <v/>
      </c>
      <c r="P61" s="229" t="str">
        <f t="shared" si="11"/>
        <v/>
      </c>
      <c r="Q61" s="229" t="str">
        <f t="shared" si="12"/>
        <v/>
      </c>
      <c r="R61" s="97" t="str">
        <f t="shared" si="13"/>
        <v/>
      </c>
      <c r="S61" s="80">
        <f t="shared" si="14"/>
        <v>48</v>
      </c>
      <c r="T61" s="80"/>
      <c r="U61" s="229" t="str">
        <f t="shared" si="15"/>
        <v/>
      </c>
      <c r="V61" s="229" t="str">
        <f t="shared" si="16"/>
        <v/>
      </c>
      <c r="W61" s="229" t="str">
        <f t="shared" si="17"/>
        <v/>
      </c>
      <c r="X61" s="97" t="str">
        <f t="shared" si="18"/>
        <v/>
      </c>
    </row>
    <row r="62" spans="1:24" x14ac:dyDescent="0.2">
      <c r="A62" s="80">
        <f t="shared" si="0"/>
        <v>49</v>
      </c>
      <c r="B62" s="80"/>
      <c r="C62" s="229" t="str">
        <f t="shared" si="1"/>
        <v/>
      </c>
      <c r="D62" s="229" t="str">
        <f t="shared" si="2"/>
        <v/>
      </c>
      <c r="E62" s="229" t="str">
        <f t="shared" si="3"/>
        <v/>
      </c>
      <c r="F62" s="97" t="str">
        <f t="shared" si="4"/>
        <v/>
      </c>
      <c r="G62" s="80">
        <f t="shared" si="5"/>
        <v>49</v>
      </c>
      <c r="H62" s="80"/>
      <c r="I62" s="229" t="str">
        <f t="shared" si="6"/>
        <v/>
      </c>
      <c r="J62" s="229" t="str">
        <f t="shared" si="7"/>
        <v/>
      </c>
      <c r="K62" s="229" t="str">
        <f t="shared" si="8"/>
        <v/>
      </c>
      <c r="L62" s="97" t="str">
        <f t="shared" si="9"/>
        <v/>
      </c>
      <c r="M62" s="80">
        <f t="shared" si="10"/>
        <v>49</v>
      </c>
      <c r="N62" s="80"/>
      <c r="O62" s="229" t="str">
        <f t="shared" si="19"/>
        <v/>
      </c>
      <c r="P62" s="229" t="str">
        <f t="shared" si="11"/>
        <v/>
      </c>
      <c r="Q62" s="229" t="str">
        <f t="shared" si="12"/>
        <v/>
      </c>
      <c r="R62" s="97" t="str">
        <f t="shared" si="13"/>
        <v/>
      </c>
      <c r="S62" s="80">
        <f t="shared" si="14"/>
        <v>49</v>
      </c>
      <c r="T62" s="80"/>
      <c r="U62" s="229" t="str">
        <f t="shared" si="15"/>
        <v/>
      </c>
      <c r="V62" s="229" t="str">
        <f t="shared" si="16"/>
        <v/>
      </c>
      <c r="W62" s="229" t="str">
        <f t="shared" si="17"/>
        <v/>
      </c>
      <c r="X62" s="97" t="str">
        <f t="shared" si="18"/>
        <v/>
      </c>
    </row>
    <row r="63" spans="1:24" x14ac:dyDescent="0.2">
      <c r="A63" s="80">
        <f t="shared" si="0"/>
        <v>50</v>
      </c>
      <c r="B63" s="80"/>
      <c r="C63" s="229" t="str">
        <f t="shared" si="1"/>
        <v/>
      </c>
      <c r="D63" s="229" t="str">
        <f t="shared" si="2"/>
        <v/>
      </c>
      <c r="E63" s="229" t="str">
        <f t="shared" si="3"/>
        <v/>
      </c>
      <c r="F63" s="97" t="str">
        <f t="shared" si="4"/>
        <v/>
      </c>
      <c r="G63" s="80">
        <f t="shared" si="5"/>
        <v>50</v>
      </c>
      <c r="H63" s="80"/>
      <c r="I63" s="229" t="str">
        <f t="shared" si="6"/>
        <v/>
      </c>
      <c r="J63" s="229" t="str">
        <f t="shared" si="7"/>
        <v/>
      </c>
      <c r="K63" s="229" t="str">
        <f t="shared" si="8"/>
        <v/>
      </c>
      <c r="L63" s="97" t="str">
        <f t="shared" si="9"/>
        <v/>
      </c>
      <c r="M63" s="80">
        <f t="shared" si="10"/>
        <v>50</v>
      </c>
      <c r="N63" s="80"/>
      <c r="O63" s="229" t="str">
        <f t="shared" si="19"/>
        <v/>
      </c>
      <c r="P63" s="229" t="str">
        <f t="shared" si="11"/>
        <v/>
      </c>
      <c r="Q63" s="229" t="str">
        <f t="shared" si="12"/>
        <v/>
      </c>
      <c r="R63" s="97" t="str">
        <f t="shared" si="13"/>
        <v/>
      </c>
      <c r="S63" s="80">
        <f t="shared" si="14"/>
        <v>50</v>
      </c>
      <c r="T63" s="80"/>
      <c r="U63" s="229" t="str">
        <f t="shared" si="15"/>
        <v/>
      </c>
      <c r="V63" s="229" t="str">
        <f t="shared" si="16"/>
        <v/>
      </c>
      <c r="W63" s="229" t="str">
        <f t="shared" si="17"/>
        <v/>
      </c>
      <c r="X63" s="97" t="str">
        <f t="shared" si="18"/>
        <v/>
      </c>
    </row>
    <row r="64" spans="1:24" x14ac:dyDescent="0.2">
      <c r="A64" s="80">
        <f t="shared" si="0"/>
        <v>51</v>
      </c>
      <c r="B64" s="80"/>
      <c r="C64" s="229" t="str">
        <f t="shared" si="1"/>
        <v/>
      </c>
      <c r="D64" s="229" t="str">
        <f t="shared" si="2"/>
        <v/>
      </c>
      <c r="E64" s="229" t="str">
        <f t="shared" si="3"/>
        <v/>
      </c>
      <c r="F64" s="97" t="str">
        <f t="shared" si="4"/>
        <v/>
      </c>
      <c r="G64" s="80">
        <f t="shared" si="5"/>
        <v>51</v>
      </c>
      <c r="H64" s="80"/>
      <c r="I64" s="229" t="str">
        <f t="shared" si="6"/>
        <v/>
      </c>
      <c r="J64" s="229" t="str">
        <f t="shared" si="7"/>
        <v/>
      </c>
      <c r="K64" s="229" t="str">
        <f t="shared" si="8"/>
        <v/>
      </c>
      <c r="L64" s="97" t="str">
        <f t="shared" si="9"/>
        <v/>
      </c>
      <c r="M64" s="80">
        <f t="shared" si="10"/>
        <v>51</v>
      </c>
      <c r="N64" s="80"/>
      <c r="O64" s="229" t="str">
        <f t="shared" si="19"/>
        <v/>
      </c>
      <c r="P64" s="229" t="str">
        <f t="shared" si="11"/>
        <v/>
      </c>
      <c r="Q64" s="229" t="str">
        <f t="shared" si="12"/>
        <v/>
      </c>
      <c r="R64" s="97" t="str">
        <f t="shared" si="13"/>
        <v/>
      </c>
      <c r="S64" s="80">
        <f t="shared" si="14"/>
        <v>51</v>
      </c>
      <c r="T64" s="80"/>
      <c r="U64" s="229" t="str">
        <f t="shared" si="15"/>
        <v/>
      </c>
      <c r="V64" s="229" t="str">
        <f t="shared" si="16"/>
        <v/>
      </c>
      <c r="W64" s="229" t="str">
        <f t="shared" si="17"/>
        <v/>
      </c>
      <c r="X64" s="97" t="str">
        <f t="shared" si="18"/>
        <v/>
      </c>
    </row>
    <row r="65" spans="1:24" x14ac:dyDescent="0.2">
      <c r="A65" s="80">
        <f t="shared" si="0"/>
        <v>52</v>
      </c>
      <c r="B65" s="80"/>
      <c r="C65" s="229" t="str">
        <f t="shared" si="1"/>
        <v/>
      </c>
      <c r="D65" s="229" t="str">
        <f t="shared" si="2"/>
        <v/>
      </c>
      <c r="E65" s="229" t="str">
        <f t="shared" si="3"/>
        <v/>
      </c>
      <c r="F65" s="97" t="str">
        <f t="shared" si="4"/>
        <v/>
      </c>
      <c r="G65" s="80">
        <f t="shared" si="5"/>
        <v>52</v>
      </c>
      <c r="H65" s="80"/>
      <c r="I65" s="229" t="str">
        <f t="shared" si="6"/>
        <v/>
      </c>
      <c r="J65" s="229" t="str">
        <f t="shared" si="7"/>
        <v/>
      </c>
      <c r="K65" s="229" t="str">
        <f t="shared" si="8"/>
        <v/>
      </c>
      <c r="L65" s="97" t="str">
        <f t="shared" si="9"/>
        <v/>
      </c>
      <c r="M65" s="80">
        <f t="shared" si="10"/>
        <v>52</v>
      </c>
      <c r="N65" s="80"/>
      <c r="O65" s="229" t="str">
        <f t="shared" si="19"/>
        <v/>
      </c>
      <c r="P65" s="229" t="str">
        <f t="shared" si="11"/>
        <v/>
      </c>
      <c r="Q65" s="229" t="str">
        <f t="shared" si="12"/>
        <v/>
      </c>
      <c r="R65" s="97" t="str">
        <f t="shared" si="13"/>
        <v/>
      </c>
      <c r="S65" s="80">
        <f t="shared" si="14"/>
        <v>52</v>
      </c>
      <c r="T65" s="80"/>
      <c r="U65" s="229" t="str">
        <f t="shared" si="15"/>
        <v/>
      </c>
      <c r="V65" s="229" t="str">
        <f t="shared" si="16"/>
        <v/>
      </c>
      <c r="W65" s="229" t="str">
        <f t="shared" si="17"/>
        <v/>
      </c>
      <c r="X65" s="97" t="str">
        <f t="shared" si="18"/>
        <v/>
      </c>
    </row>
    <row r="66" spans="1:24" x14ac:dyDescent="0.2">
      <c r="A66" s="80">
        <f t="shared" si="0"/>
        <v>53</v>
      </c>
      <c r="B66" s="80"/>
      <c r="C66" s="229" t="str">
        <f t="shared" si="1"/>
        <v/>
      </c>
      <c r="D66" s="229" t="str">
        <f t="shared" si="2"/>
        <v/>
      </c>
      <c r="E66" s="229" t="str">
        <f t="shared" si="3"/>
        <v/>
      </c>
      <c r="F66" s="97" t="str">
        <f t="shared" si="4"/>
        <v/>
      </c>
      <c r="G66" s="80">
        <f t="shared" si="5"/>
        <v>53</v>
      </c>
      <c r="H66" s="80"/>
      <c r="I66" s="229" t="str">
        <f t="shared" si="6"/>
        <v/>
      </c>
      <c r="J66" s="229" t="str">
        <f t="shared" si="7"/>
        <v/>
      </c>
      <c r="K66" s="229" t="str">
        <f t="shared" si="8"/>
        <v/>
      </c>
      <c r="L66" s="97" t="str">
        <f t="shared" si="9"/>
        <v/>
      </c>
      <c r="M66" s="80">
        <f t="shared" si="10"/>
        <v>53</v>
      </c>
      <c r="N66" s="80"/>
      <c r="O66" s="229" t="str">
        <f t="shared" si="19"/>
        <v/>
      </c>
      <c r="P66" s="229" t="str">
        <f t="shared" si="11"/>
        <v/>
      </c>
      <c r="Q66" s="229" t="str">
        <f t="shared" si="12"/>
        <v/>
      </c>
      <c r="R66" s="97" t="str">
        <f t="shared" si="13"/>
        <v/>
      </c>
      <c r="S66" s="80">
        <f t="shared" si="14"/>
        <v>53</v>
      </c>
      <c r="T66" s="80"/>
      <c r="U66" s="229" t="str">
        <f t="shared" si="15"/>
        <v/>
      </c>
      <c r="V66" s="229" t="str">
        <f t="shared" si="16"/>
        <v/>
      </c>
      <c r="W66" s="229" t="str">
        <f t="shared" si="17"/>
        <v/>
      </c>
      <c r="X66" s="97" t="str">
        <f t="shared" si="18"/>
        <v/>
      </c>
    </row>
    <row r="67" spans="1:24" x14ac:dyDescent="0.2">
      <c r="A67" s="80">
        <f t="shared" si="0"/>
        <v>54</v>
      </c>
      <c r="B67" s="80"/>
      <c r="C67" s="229" t="str">
        <f t="shared" si="1"/>
        <v/>
      </c>
      <c r="D67" s="229" t="str">
        <f t="shared" si="2"/>
        <v/>
      </c>
      <c r="E67" s="229" t="str">
        <f t="shared" si="3"/>
        <v/>
      </c>
      <c r="F67" s="97" t="str">
        <f t="shared" si="4"/>
        <v/>
      </c>
      <c r="G67" s="80">
        <f t="shared" si="5"/>
        <v>54</v>
      </c>
      <c r="H67" s="80"/>
      <c r="I67" s="229" t="str">
        <f t="shared" si="6"/>
        <v/>
      </c>
      <c r="J67" s="229" t="str">
        <f t="shared" si="7"/>
        <v/>
      </c>
      <c r="K67" s="229" t="str">
        <f t="shared" si="8"/>
        <v/>
      </c>
      <c r="L67" s="97" t="str">
        <f t="shared" si="9"/>
        <v/>
      </c>
      <c r="M67" s="80">
        <f t="shared" si="10"/>
        <v>54</v>
      </c>
      <c r="N67" s="80"/>
      <c r="O67" s="229" t="str">
        <f t="shared" si="19"/>
        <v/>
      </c>
      <c r="P67" s="229" t="str">
        <f t="shared" si="11"/>
        <v/>
      </c>
      <c r="Q67" s="229" t="str">
        <f t="shared" si="12"/>
        <v/>
      </c>
      <c r="R67" s="97" t="str">
        <f t="shared" si="13"/>
        <v/>
      </c>
      <c r="S67" s="80">
        <f t="shared" si="14"/>
        <v>54</v>
      </c>
      <c r="T67" s="80"/>
      <c r="U67" s="229" t="str">
        <f t="shared" si="15"/>
        <v/>
      </c>
      <c r="V67" s="229" t="str">
        <f t="shared" si="16"/>
        <v/>
      </c>
      <c r="W67" s="229" t="str">
        <f t="shared" si="17"/>
        <v/>
      </c>
      <c r="X67" s="97" t="str">
        <f t="shared" si="18"/>
        <v/>
      </c>
    </row>
    <row r="68" spans="1:24" x14ac:dyDescent="0.2">
      <c r="A68" s="80">
        <f t="shared" si="0"/>
        <v>55</v>
      </c>
      <c r="B68" s="80"/>
      <c r="C68" s="229" t="str">
        <f t="shared" si="1"/>
        <v/>
      </c>
      <c r="D68" s="229" t="str">
        <f t="shared" si="2"/>
        <v/>
      </c>
      <c r="E68" s="229" t="str">
        <f t="shared" si="3"/>
        <v/>
      </c>
      <c r="F68" s="97" t="str">
        <f t="shared" si="4"/>
        <v/>
      </c>
      <c r="G68" s="80">
        <f t="shared" si="5"/>
        <v>55</v>
      </c>
      <c r="H68" s="80"/>
      <c r="I68" s="229" t="str">
        <f t="shared" si="6"/>
        <v/>
      </c>
      <c r="J68" s="229" t="str">
        <f t="shared" si="7"/>
        <v/>
      </c>
      <c r="K68" s="229" t="str">
        <f t="shared" si="8"/>
        <v/>
      </c>
      <c r="L68" s="97" t="str">
        <f t="shared" si="9"/>
        <v/>
      </c>
      <c r="M68" s="80">
        <f t="shared" si="10"/>
        <v>55</v>
      </c>
      <c r="N68" s="80"/>
      <c r="O68" s="229" t="str">
        <f t="shared" si="19"/>
        <v/>
      </c>
      <c r="P68" s="229" t="str">
        <f t="shared" si="11"/>
        <v/>
      </c>
      <c r="Q68" s="229" t="str">
        <f t="shared" si="12"/>
        <v/>
      </c>
      <c r="R68" s="97" t="str">
        <f t="shared" si="13"/>
        <v/>
      </c>
      <c r="S68" s="80">
        <f t="shared" si="14"/>
        <v>55</v>
      </c>
      <c r="T68" s="80"/>
      <c r="U68" s="229" t="str">
        <f t="shared" si="15"/>
        <v/>
      </c>
      <c r="V68" s="229" t="str">
        <f t="shared" si="16"/>
        <v/>
      </c>
      <c r="W68" s="229" t="str">
        <f t="shared" si="17"/>
        <v/>
      </c>
      <c r="X68" s="97" t="str">
        <f t="shared" si="18"/>
        <v/>
      </c>
    </row>
    <row r="69" spans="1:24" x14ac:dyDescent="0.2">
      <c r="A69" s="80">
        <f t="shared" si="0"/>
        <v>56</v>
      </c>
      <c r="B69" s="80"/>
      <c r="C69" s="229" t="str">
        <f t="shared" si="1"/>
        <v/>
      </c>
      <c r="D69" s="229" t="str">
        <f t="shared" si="2"/>
        <v/>
      </c>
      <c r="E69" s="229" t="str">
        <f t="shared" si="3"/>
        <v/>
      </c>
      <c r="F69" s="97" t="str">
        <f t="shared" si="4"/>
        <v/>
      </c>
      <c r="G69" s="80">
        <f t="shared" si="5"/>
        <v>56</v>
      </c>
      <c r="H69" s="80"/>
      <c r="I69" s="229" t="str">
        <f t="shared" si="6"/>
        <v/>
      </c>
      <c r="J69" s="229" t="str">
        <f t="shared" si="7"/>
        <v/>
      </c>
      <c r="K69" s="229" t="str">
        <f t="shared" si="8"/>
        <v/>
      </c>
      <c r="L69" s="97" t="str">
        <f t="shared" si="9"/>
        <v/>
      </c>
      <c r="M69" s="80">
        <f t="shared" si="10"/>
        <v>56</v>
      </c>
      <c r="N69" s="80"/>
      <c r="O69" s="229" t="str">
        <f t="shared" si="19"/>
        <v/>
      </c>
      <c r="P69" s="229" t="str">
        <f t="shared" si="11"/>
        <v/>
      </c>
      <c r="Q69" s="229" t="str">
        <f t="shared" si="12"/>
        <v/>
      </c>
      <c r="R69" s="97" t="str">
        <f t="shared" si="13"/>
        <v/>
      </c>
      <c r="S69" s="80">
        <f t="shared" si="14"/>
        <v>56</v>
      </c>
      <c r="T69" s="80"/>
      <c r="U69" s="229" t="str">
        <f t="shared" si="15"/>
        <v/>
      </c>
      <c r="V69" s="229" t="str">
        <f t="shared" si="16"/>
        <v/>
      </c>
      <c r="W69" s="229" t="str">
        <f t="shared" si="17"/>
        <v/>
      </c>
      <c r="X69" s="97" t="str">
        <f t="shared" si="18"/>
        <v/>
      </c>
    </row>
    <row r="70" spans="1:24" x14ac:dyDescent="0.2">
      <c r="A70" s="80">
        <f t="shared" si="0"/>
        <v>57</v>
      </c>
      <c r="B70" s="80"/>
      <c r="C70" s="229" t="str">
        <f t="shared" si="1"/>
        <v/>
      </c>
      <c r="D70" s="229" t="str">
        <f t="shared" si="2"/>
        <v/>
      </c>
      <c r="E70" s="229" t="str">
        <f t="shared" si="3"/>
        <v/>
      </c>
      <c r="F70" s="97" t="str">
        <f t="shared" si="4"/>
        <v/>
      </c>
      <c r="G70" s="80">
        <f t="shared" si="5"/>
        <v>57</v>
      </c>
      <c r="H70" s="80"/>
      <c r="I70" s="229" t="str">
        <f t="shared" si="6"/>
        <v/>
      </c>
      <c r="J70" s="229" t="str">
        <f t="shared" si="7"/>
        <v/>
      </c>
      <c r="K70" s="229" t="str">
        <f t="shared" si="8"/>
        <v/>
      </c>
      <c r="L70" s="97" t="str">
        <f t="shared" si="9"/>
        <v/>
      </c>
      <c r="M70" s="80">
        <f t="shared" si="10"/>
        <v>57</v>
      </c>
      <c r="N70" s="80"/>
      <c r="O70" s="229" t="str">
        <f t="shared" si="19"/>
        <v/>
      </c>
      <c r="P70" s="229" t="str">
        <f t="shared" si="11"/>
        <v/>
      </c>
      <c r="Q70" s="229" t="str">
        <f t="shared" si="12"/>
        <v/>
      </c>
      <c r="R70" s="97" t="str">
        <f t="shared" si="13"/>
        <v/>
      </c>
      <c r="S70" s="80">
        <f t="shared" si="14"/>
        <v>57</v>
      </c>
      <c r="T70" s="80"/>
      <c r="U70" s="229" t="str">
        <f t="shared" si="15"/>
        <v/>
      </c>
      <c r="V70" s="229" t="str">
        <f t="shared" si="16"/>
        <v/>
      </c>
      <c r="W70" s="229" t="str">
        <f t="shared" si="17"/>
        <v/>
      </c>
      <c r="X70" s="97" t="str">
        <f t="shared" si="18"/>
        <v/>
      </c>
    </row>
    <row r="71" spans="1:24" x14ac:dyDescent="0.2">
      <c r="A71" s="80">
        <f t="shared" si="0"/>
        <v>58</v>
      </c>
      <c r="B71" s="80"/>
      <c r="C71" s="229" t="str">
        <f t="shared" si="1"/>
        <v/>
      </c>
      <c r="D71" s="229" t="str">
        <f t="shared" si="2"/>
        <v/>
      </c>
      <c r="E71" s="229" t="str">
        <f t="shared" si="3"/>
        <v/>
      </c>
      <c r="F71" s="97" t="str">
        <f t="shared" si="4"/>
        <v/>
      </c>
      <c r="G71" s="80">
        <f t="shared" si="5"/>
        <v>58</v>
      </c>
      <c r="H71" s="80"/>
      <c r="I71" s="229" t="str">
        <f t="shared" si="6"/>
        <v/>
      </c>
      <c r="J71" s="229" t="str">
        <f t="shared" si="7"/>
        <v/>
      </c>
      <c r="K71" s="229" t="str">
        <f t="shared" si="8"/>
        <v/>
      </c>
      <c r="L71" s="97" t="str">
        <f t="shared" si="9"/>
        <v/>
      </c>
      <c r="M71" s="80">
        <f t="shared" si="10"/>
        <v>58</v>
      </c>
      <c r="N71" s="80"/>
      <c r="O71" s="229" t="str">
        <f t="shared" si="19"/>
        <v/>
      </c>
      <c r="P71" s="229" t="str">
        <f t="shared" si="11"/>
        <v/>
      </c>
      <c r="Q71" s="229" t="str">
        <f t="shared" si="12"/>
        <v/>
      </c>
      <c r="R71" s="97" t="str">
        <f t="shared" si="13"/>
        <v/>
      </c>
      <c r="S71" s="80">
        <f t="shared" si="14"/>
        <v>58</v>
      </c>
      <c r="T71" s="80"/>
      <c r="U71" s="229" t="str">
        <f t="shared" si="15"/>
        <v/>
      </c>
      <c r="V71" s="229" t="str">
        <f t="shared" si="16"/>
        <v/>
      </c>
      <c r="W71" s="229" t="str">
        <f t="shared" si="17"/>
        <v/>
      </c>
      <c r="X71" s="97" t="str">
        <f t="shared" si="18"/>
        <v/>
      </c>
    </row>
    <row r="72" spans="1:24" x14ac:dyDescent="0.2">
      <c r="A72" s="80">
        <f t="shared" si="0"/>
        <v>59</v>
      </c>
      <c r="B72" s="80"/>
      <c r="C72" s="229" t="str">
        <f t="shared" si="1"/>
        <v/>
      </c>
      <c r="D72" s="229" t="str">
        <f t="shared" si="2"/>
        <v/>
      </c>
      <c r="E72" s="229" t="str">
        <f t="shared" si="3"/>
        <v/>
      </c>
      <c r="F72" s="97" t="str">
        <f t="shared" si="4"/>
        <v/>
      </c>
      <c r="G72" s="80">
        <f t="shared" si="5"/>
        <v>59</v>
      </c>
      <c r="H72" s="80"/>
      <c r="I72" s="229" t="str">
        <f t="shared" si="6"/>
        <v/>
      </c>
      <c r="J72" s="229" t="str">
        <f t="shared" si="7"/>
        <v/>
      </c>
      <c r="K72" s="229" t="str">
        <f t="shared" si="8"/>
        <v/>
      </c>
      <c r="L72" s="97" t="str">
        <f t="shared" si="9"/>
        <v/>
      </c>
      <c r="M72" s="80">
        <f t="shared" si="10"/>
        <v>59</v>
      </c>
      <c r="N72" s="80"/>
      <c r="O72" s="229" t="str">
        <f t="shared" si="19"/>
        <v/>
      </c>
      <c r="P72" s="229" t="str">
        <f t="shared" si="11"/>
        <v/>
      </c>
      <c r="Q72" s="229" t="str">
        <f t="shared" si="12"/>
        <v/>
      </c>
      <c r="R72" s="97" t="str">
        <f t="shared" si="13"/>
        <v/>
      </c>
      <c r="S72" s="80">
        <f t="shared" si="14"/>
        <v>59</v>
      </c>
      <c r="T72" s="80"/>
      <c r="U72" s="229" t="str">
        <f t="shared" si="15"/>
        <v/>
      </c>
      <c r="V72" s="229" t="str">
        <f t="shared" si="16"/>
        <v/>
      </c>
      <c r="W72" s="229" t="str">
        <f t="shared" si="17"/>
        <v/>
      </c>
      <c r="X72" s="97" t="str">
        <f t="shared" si="18"/>
        <v/>
      </c>
    </row>
    <row r="73" spans="1:24" x14ac:dyDescent="0.2">
      <c r="A73" s="80">
        <f t="shared" si="0"/>
        <v>60</v>
      </c>
      <c r="B73" s="80"/>
      <c r="C73" s="229" t="str">
        <f t="shared" si="1"/>
        <v/>
      </c>
      <c r="D73" s="229" t="str">
        <f t="shared" si="2"/>
        <v/>
      </c>
      <c r="E73" s="229" t="str">
        <f t="shared" si="3"/>
        <v/>
      </c>
      <c r="F73" s="97" t="str">
        <f t="shared" si="4"/>
        <v/>
      </c>
      <c r="G73" s="80">
        <f t="shared" si="5"/>
        <v>60</v>
      </c>
      <c r="H73" s="80"/>
      <c r="I73" s="229" t="str">
        <f t="shared" si="6"/>
        <v/>
      </c>
      <c r="J73" s="229" t="str">
        <f t="shared" si="7"/>
        <v/>
      </c>
      <c r="K73" s="229" t="str">
        <f t="shared" si="8"/>
        <v/>
      </c>
      <c r="L73" s="97" t="str">
        <f t="shared" si="9"/>
        <v/>
      </c>
      <c r="M73" s="80">
        <f t="shared" si="10"/>
        <v>60</v>
      </c>
      <c r="N73" s="80"/>
      <c r="O73" s="229" t="str">
        <f t="shared" si="19"/>
        <v/>
      </c>
      <c r="P73" s="229" t="str">
        <f t="shared" si="11"/>
        <v/>
      </c>
      <c r="Q73" s="229" t="str">
        <f t="shared" si="12"/>
        <v/>
      </c>
      <c r="R73" s="97" t="str">
        <f t="shared" si="13"/>
        <v/>
      </c>
      <c r="S73" s="80">
        <f t="shared" si="14"/>
        <v>60</v>
      </c>
      <c r="T73" s="80"/>
      <c r="U73" s="229" t="str">
        <f t="shared" si="15"/>
        <v/>
      </c>
      <c r="V73" s="229" t="str">
        <f t="shared" si="16"/>
        <v/>
      </c>
      <c r="W73" s="229" t="str">
        <f t="shared" si="17"/>
        <v/>
      </c>
      <c r="X73" s="97" t="str">
        <f t="shared" si="18"/>
        <v/>
      </c>
    </row>
    <row r="74" spans="1:24" x14ac:dyDescent="0.2">
      <c r="A74" s="80">
        <f t="shared" si="0"/>
        <v>61</v>
      </c>
      <c r="B74" s="80"/>
      <c r="C74" s="229" t="str">
        <f t="shared" si="1"/>
        <v/>
      </c>
      <c r="D74" s="229" t="str">
        <f t="shared" si="2"/>
        <v/>
      </c>
      <c r="E74" s="229" t="str">
        <f t="shared" si="3"/>
        <v/>
      </c>
      <c r="F74" s="97" t="str">
        <f t="shared" si="4"/>
        <v/>
      </c>
      <c r="G74" s="80">
        <f t="shared" si="5"/>
        <v>61</v>
      </c>
      <c r="H74" s="80"/>
      <c r="I74" s="229" t="str">
        <f t="shared" si="6"/>
        <v/>
      </c>
      <c r="J74" s="229" t="str">
        <f t="shared" si="7"/>
        <v/>
      </c>
      <c r="K74" s="229" t="str">
        <f t="shared" si="8"/>
        <v/>
      </c>
      <c r="L74" s="97" t="str">
        <f t="shared" si="9"/>
        <v/>
      </c>
      <c r="M74" s="80">
        <f t="shared" si="10"/>
        <v>61</v>
      </c>
      <c r="N74" s="80"/>
      <c r="O74" s="229" t="str">
        <f t="shared" si="19"/>
        <v/>
      </c>
      <c r="P74" s="229" t="str">
        <f t="shared" si="11"/>
        <v/>
      </c>
      <c r="Q74" s="229" t="str">
        <f t="shared" si="12"/>
        <v/>
      </c>
      <c r="R74" s="97" t="str">
        <f t="shared" si="13"/>
        <v/>
      </c>
      <c r="S74" s="80">
        <f t="shared" si="14"/>
        <v>61</v>
      </c>
      <c r="T74" s="80"/>
      <c r="U74" s="229" t="str">
        <f t="shared" si="15"/>
        <v/>
      </c>
      <c r="V74" s="229" t="str">
        <f t="shared" si="16"/>
        <v/>
      </c>
      <c r="W74" s="229" t="str">
        <f t="shared" si="17"/>
        <v/>
      </c>
      <c r="X74" s="97" t="str">
        <f t="shared" si="18"/>
        <v/>
      </c>
    </row>
    <row r="75" spans="1:24" x14ac:dyDescent="0.2">
      <c r="A75" s="80">
        <f t="shared" si="0"/>
        <v>62</v>
      </c>
      <c r="B75" s="80"/>
      <c r="C75" s="229" t="str">
        <f t="shared" si="1"/>
        <v/>
      </c>
      <c r="D75" s="229" t="str">
        <f t="shared" si="2"/>
        <v/>
      </c>
      <c r="E75" s="229" t="str">
        <f t="shared" si="3"/>
        <v/>
      </c>
      <c r="F75" s="97" t="str">
        <f t="shared" si="4"/>
        <v/>
      </c>
      <c r="G75" s="80">
        <f t="shared" si="5"/>
        <v>62</v>
      </c>
      <c r="H75" s="80"/>
      <c r="I75" s="229" t="str">
        <f t="shared" si="6"/>
        <v/>
      </c>
      <c r="J75" s="229" t="str">
        <f t="shared" si="7"/>
        <v/>
      </c>
      <c r="K75" s="229" t="str">
        <f t="shared" si="8"/>
        <v/>
      </c>
      <c r="L75" s="97" t="str">
        <f t="shared" si="9"/>
        <v/>
      </c>
      <c r="M75" s="80">
        <f t="shared" si="10"/>
        <v>62</v>
      </c>
      <c r="N75" s="80"/>
      <c r="O75" s="229" t="str">
        <f t="shared" si="19"/>
        <v/>
      </c>
      <c r="P75" s="229" t="str">
        <f t="shared" si="11"/>
        <v/>
      </c>
      <c r="Q75" s="229" t="str">
        <f t="shared" si="12"/>
        <v/>
      </c>
      <c r="R75" s="97" t="str">
        <f t="shared" si="13"/>
        <v/>
      </c>
      <c r="S75" s="80">
        <f t="shared" si="14"/>
        <v>62</v>
      </c>
      <c r="T75" s="80"/>
      <c r="U75" s="229" t="str">
        <f t="shared" si="15"/>
        <v/>
      </c>
      <c r="V75" s="229" t="str">
        <f t="shared" si="16"/>
        <v/>
      </c>
      <c r="W75" s="229" t="str">
        <f t="shared" si="17"/>
        <v/>
      </c>
      <c r="X75" s="97" t="str">
        <f t="shared" si="18"/>
        <v/>
      </c>
    </row>
    <row r="76" spans="1:24" x14ac:dyDescent="0.2">
      <c r="A76" s="80">
        <f t="shared" si="0"/>
        <v>63</v>
      </c>
      <c r="B76" s="80"/>
      <c r="C76" s="229" t="str">
        <f t="shared" si="1"/>
        <v/>
      </c>
      <c r="D76" s="229" t="str">
        <f t="shared" si="2"/>
        <v/>
      </c>
      <c r="E76" s="229" t="str">
        <f t="shared" si="3"/>
        <v/>
      </c>
      <c r="F76" s="97" t="str">
        <f t="shared" si="4"/>
        <v/>
      </c>
      <c r="G76" s="80">
        <f t="shared" si="5"/>
        <v>63</v>
      </c>
      <c r="H76" s="80"/>
      <c r="I76" s="229" t="str">
        <f t="shared" si="6"/>
        <v/>
      </c>
      <c r="J76" s="229" t="str">
        <f t="shared" si="7"/>
        <v/>
      </c>
      <c r="K76" s="229" t="str">
        <f t="shared" si="8"/>
        <v/>
      </c>
      <c r="L76" s="97" t="str">
        <f t="shared" si="9"/>
        <v/>
      </c>
      <c r="M76" s="80">
        <f t="shared" si="10"/>
        <v>63</v>
      </c>
      <c r="N76" s="80"/>
      <c r="O76" s="229" t="str">
        <f t="shared" si="19"/>
        <v/>
      </c>
      <c r="P76" s="229" t="str">
        <f t="shared" si="11"/>
        <v/>
      </c>
      <c r="Q76" s="229" t="str">
        <f t="shared" si="12"/>
        <v/>
      </c>
      <c r="R76" s="97" t="str">
        <f t="shared" si="13"/>
        <v/>
      </c>
      <c r="S76" s="80">
        <f t="shared" si="14"/>
        <v>63</v>
      </c>
      <c r="T76" s="80"/>
      <c r="U76" s="229" t="str">
        <f t="shared" si="15"/>
        <v/>
      </c>
      <c r="V76" s="229" t="str">
        <f t="shared" si="16"/>
        <v/>
      </c>
      <c r="W76" s="229" t="str">
        <f t="shared" si="17"/>
        <v/>
      </c>
      <c r="X76" s="97" t="str">
        <f t="shared" si="18"/>
        <v/>
      </c>
    </row>
    <row r="77" spans="1:24" x14ac:dyDescent="0.2">
      <c r="A77" s="80">
        <f t="shared" si="0"/>
        <v>64</v>
      </c>
      <c r="B77" s="80"/>
      <c r="C77" s="229" t="str">
        <f t="shared" si="1"/>
        <v/>
      </c>
      <c r="D77" s="229" t="str">
        <f t="shared" si="2"/>
        <v/>
      </c>
      <c r="E77" s="229" t="str">
        <f t="shared" si="3"/>
        <v/>
      </c>
      <c r="F77" s="97" t="str">
        <f t="shared" si="4"/>
        <v/>
      </c>
      <c r="G77" s="80">
        <f t="shared" si="5"/>
        <v>64</v>
      </c>
      <c r="H77" s="80"/>
      <c r="I77" s="229" t="str">
        <f t="shared" si="6"/>
        <v/>
      </c>
      <c r="J77" s="229" t="str">
        <f t="shared" si="7"/>
        <v/>
      </c>
      <c r="K77" s="229" t="str">
        <f t="shared" si="8"/>
        <v/>
      </c>
      <c r="L77" s="97" t="str">
        <f t="shared" si="9"/>
        <v/>
      </c>
      <c r="M77" s="80">
        <f t="shared" si="10"/>
        <v>64</v>
      </c>
      <c r="N77" s="80"/>
      <c r="O77" s="229" t="str">
        <f t="shared" si="19"/>
        <v/>
      </c>
      <c r="P77" s="229" t="str">
        <f t="shared" si="11"/>
        <v/>
      </c>
      <c r="Q77" s="229" t="str">
        <f t="shared" si="12"/>
        <v/>
      </c>
      <c r="R77" s="97" t="str">
        <f t="shared" si="13"/>
        <v/>
      </c>
      <c r="S77" s="80">
        <f t="shared" si="14"/>
        <v>64</v>
      </c>
      <c r="T77" s="80"/>
      <c r="U77" s="229" t="str">
        <f t="shared" si="15"/>
        <v/>
      </c>
      <c r="V77" s="229" t="str">
        <f t="shared" si="16"/>
        <v/>
      </c>
      <c r="W77" s="229" t="str">
        <f t="shared" si="17"/>
        <v/>
      </c>
      <c r="X77" s="97" t="str">
        <f t="shared" si="18"/>
        <v/>
      </c>
    </row>
    <row r="78" spans="1:24" x14ac:dyDescent="0.2">
      <c r="A78" s="80">
        <f t="shared" si="0"/>
        <v>65</v>
      </c>
      <c r="B78" s="80"/>
      <c r="C78" s="229" t="str">
        <f t="shared" si="1"/>
        <v/>
      </c>
      <c r="D78" s="229" t="str">
        <f t="shared" si="2"/>
        <v/>
      </c>
      <c r="E78" s="229" t="str">
        <f t="shared" si="3"/>
        <v/>
      </c>
      <c r="F78" s="97" t="str">
        <f t="shared" si="4"/>
        <v/>
      </c>
      <c r="G78" s="80">
        <f t="shared" si="5"/>
        <v>65</v>
      </c>
      <c r="H78" s="80"/>
      <c r="I78" s="229" t="str">
        <f t="shared" si="6"/>
        <v/>
      </c>
      <c r="J78" s="229" t="str">
        <f t="shared" si="7"/>
        <v/>
      </c>
      <c r="K78" s="229" t="str">
        <f t="shared" si="8"/>
        <v/>
      </c>
      <c r="L78" s="97" t="str">
        <f t="shared" si="9"/>
        <v/>
      </c>
      <c r="M78" s="80">
        <f t="shared" si="10"/>
        <v>65</v>
      </c>
      <c r="N78" s="80"/>
      <c r="O78" s="229" t="str">
        <f t="shared" si="19"/>
        <v/>
      </c>
      <c r="P78" s="229" t="str">
        <f t="shared" si="11"/>
        <v/>
      </c>
      <c r="Q78" s="229" t="str">
        <f t="shared" si="12"/>
        <v/>
      </c>
      <c r="R78" s="97" t="str">
        <f t="shared" si="13"/>
        <v/>
      </c>
      <c r="S78" s="80">
        <f t="shared" si="14"/>
        <v>65</v>
      </c>
      <c r="T78" s="80"/>
      <c r="U78" s="229" t="str">
        <f t="shared" si="15"/>
        <v/>
      </c>
      <c r="V78" s="229" t="str">
        <f t="shared" si="16"/>
        <v/>
      </c>
      <c r="W78" s="229" t="str">
        <f t="shared" si="17"/>
        <v/>
      </c>
      <c r="X78" s="97" t="str">
        <f t="shared" si="18"/>
        <v/>
      </c>
    </row>
    <row r="79" spans="1:24" x14ac:dyDescent="0.2">
      <c r="A79" s="80">
        <f t="shared" ref="A79:A142" si="20">IF(A78&lt;D$8*12,A78+1,"")</f>
        <v>66</v>
      </c>
      <c r="B79" s="80"/>
      <c r="C79" s="229" t="str">
        <f t="shared" ref="C79:C142" si="21">IF(F78=0,"",IF($A79&lt;=D$8*12,C78,""))</f>
        <v/>
      </c>
      <c r="D79" s="229" t="str">
        <f t="shared" ref="D79:D142" si="22">IF(C79="","",C79-E79)</f>
        <v/>
      </c>
      <c r="E79" s="229" t="str">
        <f t="shared" ref="E79:E142" si="23">IF(C79="","",F78*D$7/12)</f>
        <v/>
      </c>
      <c r="F79" s="97" t="str">
        <f t="shared" ref="F79:F142" si="24">IF(D$6=0,"",IF($A79&gt;D$8*12,"",D$6+CUMPRINC(D$7/12,D$8*12,D$6,1,$A79,0)))</f>
        <v/>
      </c>
      <c r="G79" s="80">
        <f t="shared" ref="G79:G142" si="25">IF(G78&lt;J$8*12,G78+1,"")</f>
        <v>66</v>
      </c>
      <c r="H79" s="80"/>
      <c r="I79" s="229" t="str">
        <f t="shared" ref="I79:I142" si="26">IF(L78=0,"",IF($A79&lt;=J$8*12,I78,""))</f>
        <v/>
      </c>
      <c r="J79" s="229" t="str">
        <f t="shared" ref="J79:J142" si="27">IF(I79="","",I79-K79)</f>
        <v/>
      </c>
      <c r="K79" s="229" t="str">
        <f t="shared" ref="K79:K142" si="28">IF(I79="","",L78*J$7/12)</f>
        <v/>
      </c>
      <c r="L79" s="97" t="str">
        <f t="shared" ref="L79:L142" si="29">IF(J$6=0,"",IF($A79&gt;J$8*12,"",J$6+CUMPRINC(J$7/12,J$8*12,J$6,1,$A79,0)))</f>
        <v/>
      </c>
      <c r="M79" s="80">
        <f t="shared" ref="M79:M142" si="30">IF(M78&lt;P$8*12,M78+1,"")</f>
        <v>66</v>
      </c>
      <c r="N79" s="80"/>
      <c r="O79" s="229" t="str">
        <f t="shared" ref="O79:O142" si="31">IF(R78=0,"",IF($A79&lt;=P$8*12,O78,""))</f>
        <v/>
      </c>
      <c r="P79" s="229" t="str">
        <f t="shared" ref="P79:P142" si="32">IF(O79="","",O79-Q79)</f>
        <v/>
      </c>
      <c r="Q79" s="229" t="str">
        <f t="shared" ref="Q79:Q142" si="33">IF(O79="","",R78*P$7/12)</f>
        <v/>
      </c>
      <c r="R79" s="97" t="str">
        <f t="shared" ref="R79:R142" si="34">IF(P$6=0,"",IF($A79&gt;P$8*12,"",P$6+CUMPRINC(P$7/12,P$8*12,P$6,1,$A79,0)))</f>
        <v/>
      </c>
      <c r="S79" s="80">
        <f t="shared" ref="S79:S142" si="35">IF(S78&lt;V$8*12,S78+1,"")</f>
        <v>66</v>
      </c>
      <c r="T79" s="80"/>
      <c r="U79" s="229" t="str">
        <f t="shared" ref="U79:U142" si="36">IF(X78=0,"",IF($A79&lt;=V$8*12,U78,""))</f>
        <v/>
      </c>
      <c r="V79" s="229" t="str">
        <f t="shared" ref="V79:V142" si="37">IF(U79="","",U79-W79)</f>
        <v/>
      </c>
      <c r="W79" s="229" t="str">
        <f t="shared" ref="W79:W142" si="38">IF(U79="","",X78*V$7/12)</f>
        <v/>
      </c>
      <c r="X79" s="97" t="str">
        <f t="shared" ref="X79:X142" si="39">IF(V$6=0,"",IF($A79&gt;V$8*12,"",V$6+CUMPRINC(V$7/12,V$8*12,V$6,1,$A79,0)))</f>
        <v/>
      </c>
    </row>
    <row r="80" spans="1:24" x14ac:dyDescent="0.2">
      <c r="A80" s="80">
        <f t="shared" si="20"/>
        <v>67</v>
      </c>
      <c r="B80" s="80"/>
      <c r="C80" s="229" t="str">
        <f t="shared" si="21"/>
        <v/>
      </c>
      <c r="D80" s="229" t="str">
        <f t="shared" si="22"/>
        <v/>
      </c>
      <c r="E80" s="229" t="str">
        <f t="shared" si="23"/>
        <v/>
      </c>
      <c r="F80" s="97" t="str">
        <f t="shared" si="24"/>
        <v/>
      </c>
      <c r="G80" s="80">
        <f t="shared" si="25"/>
        <v>67</v>
      </c>
      <c r="H80" s="80"/>
      <c r="I80" s="229" t="str">
        <f t="shared" si="26"/>
        <v/>
      </c>
      <c r="J80" s="229" t="str">
        <f t="shared" si="27"/>
        <v/>
      </c>
      <c r="K80" s="229" t="str">
        <f t="shared" si="28"/>
        <v/>
      </c>
      <c r="L80" s="97" t="str">
        <f t="shared" si="29"/>
        <v/>
      </c>
      <c r="M80" s="80">
        <f t="shared" si="30"/>
        <v>67</v>
      </c>
      <c r="N80" s="80"/>
      <c r="O80" s="229" t="str">
        <f t="shared" si="31"/>
        <v/>
      </c>
      <c r="P80" s="229" t="str">
        <f t="shared" si="32"/>
        <v/>
      </c>
      <c r="Q80" s="229" t="str">
        <f t="shared" si="33"/>
        <v/>
      </c>
      <c r="R80" s="97" t="str">
        <f t="shared" si="34"/>
        <v/>
      </c>
      <c r="S80" s="80">
        <f t="shared" si="35"/>
        <v>67</v>
      </c>
      <c r="T80" s="80"/>
      <c r="U80" s="229" t="str">
        <f t="shared" si="36"/>
        <v/>
      </c>
      <c r="V80" s="229" t="str">
        <f t="shared" si="37"/>
        <v/>
      </c>
      <c r="W80" s="229" t="str">
        <f t="shared" si="38"/>
        <v/>
      </c>
      <c r="X80" s="97" t="str">
        <f t="shared" si="39"/>
        <v/>
      </c>
    </row>
    <row r="81" spans="1:24" x14ac:dyDescent="0.2">
      <c r="A81" s="80">
        <f t="shared" si="20"/>
        <v>68</v>
      </c>
      <c r="B81" s="80"/>
      <c r="C81" s="229" t="str">
        <f t="shared" si="21"/>
        <v/>
      </c>
      <c r="D81" s="229" t="str">
        <f t="shared" si="22"/>
        <v/>
      </c>
      <c r="E81" s="229" t="str">
        <f t="shared" si="23"/>
        <v/>
      </c>
      <c r="F81" s="97" t="str">
        <f t="shared" si="24"/>
        <v/>
      </c>
      <c r="G81" s="80">
        <f t="shared" si="25"/>
        <v>68</v>
      </c>
      <c r="H81" s="80"/>
      <c r="I81" s="229" t="str">
        <f t="shared" si="26"/>
        <v/>
      </c>
      <c r="J81" s="229" t="str">
        <f t="shared" si="27"/>
        <v/>
      </c>
      <c r="K81" s="229" t="str">
        <f t="shared" si="28"/>
        <v/>
      </c>
      <c r="L81" s="97" t="str">
        <f t="shared" si="29"/>
        <v/>
      </c>
      <c r="M81" s="80">
        <f t="shared" si="30"/>
        <v>68</v>
      </c>
      <c r="N81" s="80"/>
      <c r="O81" s="229" t="str">
        <f t="shared" si="31"/>
        <v/>
      </c>
      <c r="P81" s="229" t="str">
        <f t="shared" si="32"/>
        <v/>
      </c>
      <c r="Q81" s="229" t="str">
        <f t="shared" si="33"/>
        <v/>
      </c>
      <c r="R81" s="97" t="str">
        <f t="shared" si="34"/>
        <v/>
      </c>
      <c r="S81" s="80">
        <f t="shared" si="35"/>
        <v>68</v>
      </c>
      <c r="T81" s="80"/>
      <c r="U81" s="229" t="str">
        <f t="shared" si="36"/>
        <v/>
      </c>
      <c r="V81" s="229" t="str">
        <f t="shared" si="37"/>
        <v/>
      </c>
      <c r="W81" s="229" t="str">
        <f t="shared" si="38"/>
        <v/>
      </c>
      <c r="X81" s="97" t="str">
        <f t="shared" si="39"/>
        <v/>
      </c>
    </row>
    <row r="82" spans="1:24" x14ac:dyDescent="0.2">
      <c r="A82" s="80">
        <f t="shared" si="20"/>
        <v>69</v>
      </c>
      <c r="B82" s="80"/>
      <c r="C82" s="229" t="str">
        <f t="shared" si="21"/>
        <v/>
      </c>
      <c r="D82" s="229" t="str">
        <f t="shared" si="22"/>
        <v/>
      </c>
      <c r="E82" s="229" t="str">
        <f t="shared" si="23"/>
        <v/>
      </c>
      <c r="F82" s="97" t="str">
        <f t="shared" si="24"/>
        <v/>
      </c>
      <c r="G82" s="80">
        <f t="shared" si="25"/>
        <v>69</v>
      </c>
      <c r="H82" s="80"/>
      <c r="I82" s="229" t="str">
        <f t="shared" si="26"/>
        <v/>
      </c>
      <c r="J82" s="229" t="str">
        <f t="shared" si="27"/>
        <v/>
      </c>
      <c r="K82" s="229" t="str">
        <f t="shared" si="28"/>
        <v/>
      </c>
      <c r="L82" s="97" t="str">
        <f t="shared" si="29"/>
        <v/>
      </c>
      <c r="M82" s="80">
        <f t="shared" si="30"/>
        <v>69</v>
      </c>
      <c r="N82" s="80"/>
      <c r="O82" s="229" t="str">
        <f t="shared" si="31"/>
        <v/>
      </c>
      <c r="P82" s="229" t="str">
        <f t="shared" si="32"/>
        <v/>
      </c>
      <c r="Q82" s="229" t="str">
        <f t="shared" si="33"/>
        <v/>
      </c>
      <c r="R82" s="97" t="str">
        <f t="shared" si="34"/>
        <v/>
      </c>
      <c r="S82" s="80">
        <f t="shared" si="35"/>
        <v>69</v>
      </c>
      <c r="T82" s="80"/>
      <c r="U82" s="229" t="str">
        <f t="shared" si="36"/>
        <v/>
      </c>
      <c r="V82" s="229" t="str">
        <f t="shared" si="37"/>
        <v/>
      </c>
      <c r="W82" s="229" t="str">
        <f t="shared" si="38"/>
        <v/>
      </c>
      <c r="X82" s="97" t="str">
        <f t="shared" si="39"/>
        <v/>
      </c>
    </row>
    <row r="83" spans="1:24" x14ac:dyDescent="0.2">
      <c r="A83" s="80">
        <f t="shared" si="20"/>
        <v>70</v>
      </c>
      <c r="B83" s="80"/>
      <c r="C83" s="229" t="str">
        <f t="shared" si="21"/>
        <v/>
      </c>
      <c r="D83" s="229" t="str">
        <f t="shared" si="22"/>
        <v/>
      </c>
      <c r="E83" s="229" t="str">
        <f t="shared" si="23"/>
        <v/>
      </c>
      <c r="F83" s="97" t="str">
        <f t="shared" si="24"/>
        <v/>
      </c>
      <c r="G83" s="80">
        <f t="shared" si="25"/>
        <v>70</v>
      </c>
      <c r="H83" s="80"/>
      <c r="I83" s="229" t="str">
        <f t="shared" si="26"/>
        <v/>
      </c>
      <c r="J83" s="229" t="str">
        <f t="shared" si="27"/>
        <v/>
      </c>
      <c r="K83" s="229" t="str">
        <f t="shared" si="28"/>
        <v/>
      </c>
      <c r="L83" s="97" t="str">
        <f t="shared" si="29"/>
        <v/>
      </c>
      <c r="M83" s="80">
        <f t="shared" si="30"/>
        <v>70</v>
      </c>
      <c r="N83" s="80"/>
      <c r="O83" s="229" t="str">
        <f t="shared" si="31"/>
        <v/>
      </c>
      <c r="P83" s="229" t="str">
        <f t="shared" si="32"/>
        <v/>
      </c>
      <c r="Q83" s="229" t="str">
        <f t="shared" si="33"/>
        <v/>
      </c>
      <c r="R83" s="97" t="str">
        <f t="shared" si="34"/>
        <v/>
      </c>
      <c r="S83" s="80">
        <f t="shared" si="35"/>
        <v>70</v>
      </c>
      <c r="T83" s="80"/>
      <c r="U83" s="229" t="str">
        <f t="shared" si="36"/>
        <v/>
      </c>
      <c r="V83" s="229" t="str">
        <f t="shared" si="37"/>
        <v/>
      </c>
      <c r="W83" s="229" t="str">
        <f t="shared" si="38"/>
        <v/>
      </c>
      <c r="X83" s="97" t="str">
        <f t="shared" si="39"/>
        <v/>
      </c>
    </row>
    <row r="84" spans="1:24" x14ac:dyDescent="0.2">
      <c r="A84" s="80">
        <f t="shared" si="20"/>
        <v>71</v>
      </c>
      <c r="B84" s="80"/>
      <c r="C84" s="229" t="str">
        <f t="shared" si="21"/>
        <v/>
      </c>
      <c r="D84" s="229" t="str">
        <f t="shared" si="22"/>
        <v/>
      </c>
      <c r="E84" s="229" t="str">
        <f t="shared" si="23"/>
        <v/>
      </c>
      <c r="F84" s="97" t="str">
        <f t="shared" si="24"/>
        <v/>
      </c>
      <c r="G84" s="80">
        <f t="shared" si="25"/>
        <v>71</v>
      </c>
      <c r="H84" s="80"/>
      <c r="I84" s="229" t="str">
        <f t="shared" si="26"/>
        <v/>
      </c>
      <c r="J84" s="229" t="str">
        <f t="shared" si="27"/>
        <v/>
      </c>
      <c r="K84" s="229" t="str">
        <f t="shared" si="28"/>
        <v/>
      </c>
      <c r="L84" s="97" t="str">
        <f t="shared" si="29"/>
        <v/>
      </c>
      <c r="M84" s="80">
        <f t="shared" si="30"/>
        <v>71</v>
      </c>
      <c r="N84" s="80"/>
      <c r="O84" s="229" t="str">
        <f t="shared" si="31"/>
        <v/>
      </c>
      <c r="P84" s="229" t="str">
        <f t="shared" si="32"/>
        <v/>
      </c>
      <c r="Q84" s="229" t="str">
        <f t="shared" si="33"/>
        <v/>
      </c>
      <c r="R84" s="97" t="str">
        <f t="shared" si="34"/>
        <v/>
      </c>
      <c r="S84" s="80">
        <f t="shared" si="35"/>
        <v>71</v>
      </c>
      <c r="T84" s="80"/>
      <c r="U84" s="229" t="str">
        <f t="shared" si="36"/>
        <v/>
      </c>
      <c r="V84" s="229" t="str">
        <f t="shared" si="37"/>
        <v/>
      </c>
      <c r="W84" s="229" t="str">
        <f t="shared" si="38"/>
        <v/>
      </c>
      <c r="X84" s="97" t="str">
        <f t="shared" si="39"/>
        <v/>
      </c>
    </row>
    <row r="85" spans="1:24" x14ac:dyDescent="0.2">
      <c r="A85" s="80">
        <f t="shared" si="20"/>
        <v>72</v>
      </c>
      <c r="B85" s="80"/>
      <c r="C85" s="229" t="str">
        <f t="shared" si="21"/>
        <v/>
      </c>
      <c r="D85" s="229" t="str">
        <f t="shared" si="22"/>
        <v/>
      </c>
      <c r="E85" s="229" t="str">
        <f t="shared" si="23"/>
        <v/>
      </c>
      <c r="F85" s="97" t="str">
        <f t="shared" si="24"/>
        <v/>
      </c>
      <c r="G85" s="80">
        <f t="shared" si="25"/>
        <v>72</v>
      </c>
      <c r="H85" s="80"/>
      <c r="I85" s="229" t="str">
        <f t="shared" si="26"/>
        <v/>
      </c>
      <c r="J85" s="229" t="str">
        <f t="shared" si="27"/>
        <v/>
      </c>
      <c r="K85" s="229" t="str">
        <f t="shared" si="28"/>
        <v/>
      </c>
      <c r="L85" s="97" t="str">
        <f t="shared" si="29"/>
        <v/>
      </c>
      <c r="M85" s="80">
        <f t="shared" si="30"/>
        <v>72</v>
      </c>
      <c r="N85" s="80"/>
      <c r="O85" s="229" t="str">
        <f t="shared" si="31"/>
        <v/>
      </c>
      <c r="P85" s="229" t="str">
        <f t="shared" si="32"/>
        <v/>
      </c>
      <c r="Q85" s="229" t="str">
        <f t="shared" si="33"/>
        <v/>
      </c>
      <c r="R85" s="97" t="str">
        <f t="shared" si="34"/>
        <v/>
      </c>
      <c r="S85" s="80">
        <f t="shared" si="35"/>
        <v>72</v>
      </c>
      <c r="T85" s="80"/>
      <c r="U85" s="229" t="str">
        <f t="shared" si="36"/>
        <v/>
      </c>
      <c r="V85" s="229" t="str">
        <f t="shared" si="37"/>
        <v/>
      </c>
      <c r="W85" s="229" t="str">
        <f t="shared" si="38"/>
        <v/>
      </c>
      <c r="X85" s="97" t="str">
        <f t="shared" si="39"/>
        <v/>
      </c>
    </row>
    <row r="86" spans="1:24" x14ac:dyDescent="0.2">
      <c r="A86" s="80">
        <f t="shared" si="20"/>
        <v>73</v>
      </c>
      <c r="B86" s="80"/>
      <c r="C86" s="229" t="str">
        <f t="shared" si="21"/>
        <v/>
      </c>
      <c r="D86" s="229" t="str">
        <f t="shared" si="22"/>
        <v/>
      </c>
      <c r="E86" s="229" t="str">
        <f t="shared" si="23"/>
        <v/>
      </c>
      <c r="F86" s="97" t="str">
        <f t="shared" si="24"/>
        <v/>
      </c>
      <c r="G86" s="80">
        <f t="shared" si="25"/>
        <v>73</v>
      </c>
      <c r="H86" s="80"/>
      <c r="I86" s="229" t="str">
        <f t="shared" si="26"/>
        <v/>
      </c>
      <c r="J86" s="229" t="str">
        <f t="shared" si="27"/>
        <v/>
      </c>
      <c r="K86" s="229" t="str">
        <f t="shared" si="28"/>
        <v/>
      </c>
      <c r="L86" s="97" t="str">
        <f t="shared" si="29"/>
        <v/>
      </c>
      <c r="M86" s="80">
        <f t="shared" si="30"/>
        <v>73</v>
      </c>
      <c r="N86" s="80"/>
      <c r="O86" s="229" t="str">
        <f t="shared" si="31"/>
        <v/>
      </c>
      <c r="P86" s="229" t="str">
        <f t="shared" si="32"/>
        <v/>
      </c>
      <c r="Q86" s="229" t="str">
        <f t="shared" si="33"/>
        <v/>
      </c>
      <c r="R86" s="97" t="str">
        <f t="shared" si="34"/>
        <v/>
      </c>
      <c r="S86" s="80">
        <f t="shared" si="35"/>
        <v>73</v>
      </c>
      <c r="T86" s="80"/>
      <c r="U86" s="229" t="str">
        <f t="shared" si="36"/>
        <v/>
      </c>
      <c r="V86" s="229" t="str">
        <f t="shared" si="37"/>
        <v/>
      </c>
      <c r="W86" s="229" t="str">
        <f t="shared" si="38"/>
        <v/>
      </c>
      <c r="X86" s="97" t="str">
        <f t="shared" si="39"/>
        <v/>
      </c>
    </row>
    <row r="87" spans="1:24" x14ac:dyDescent="0.2">
      <c r="A87" s="80">
        <f t="shared" si="20"/>
        <v>74</v>
      </c>
      <c r="B87" s="80"/>
      <c r="C87" s="229" t="str">
        <f t="shared" si="21"/>
        <v/>
      </c>
      <c r="D87" s="229" t="str">
        <f t="shared" si="22"/>
        <v/>
      </c>
      <c r="E87" s="229" t="str">
        <f t="shared" si="23"/>
        <v/>
      </c>
      <c r="F87" s="97" t="str">
        <f t="shared" si="24"/>
        <v/>
      </c>
      <c r="G87" s="80">
        <f t="shared" si="25"/>
        <v>74</v>
      </c>
      <c r="H87" s="80"/>
      <c r="I87" s="229" t="str">
        <f t="shared" si="26"/>
        <v/>
      </c>
      <c r="J87" s="229" t="str">
        <f t="shared" si="27"/>
        <v/>
      </c>
      <c r="K87" s="229" t="str">
        <f t="shared" si="28"/>
        <v/>
      </c>
      <c r="L87" s="97" t="str">
        <f t="shared" si="29"/>
        <v/>
      </c>
      <c r="M87" s="80">
        <f t="shared" si="30"/>
        <v>74</v>
      </c>
      <c r="N87" s="80"/>
      <c r="O87" s="229" t="str">
        <f t="shared" si="31"/>
        <v/>
      </c>
      <c r="P87" s="229" t="str">
        <f t="shared" si="32"/>
        <v/>
      </c>
      <c r="Q87" s="229" t="str">
        <f t="shared" si="33"/>
        <v/>
      </c>
      <c r="R87" s="97" t="str">
        <f t="shared" si="34"/>
        <v/>
      </c>
      <c r="S87" s="80">
        <f t="shared" si="35"/>
        <v>74</v>
      </c>
      <c r="T87" s="80"/>
      <c r="U87" s="229" t="str">
        <f t="shared" si="36"/>
        <v/>
      </c>
      <c r="V87" s="229" t="str">
        <f t="shared" si="37"/>
        <v/>
      </c>
      <c r="W87" s="229" t="str">
        <f t="shared" si="38"/>
        <v/>
      </c>
      <c r="X87" s="97" t="str">
        <f t="shared" si="39"/>
        <v/>
      </c>
    </row>
    <row r="88" spans="1:24" x14ac:dyDescent="0.2">
      <c r="A88" s="80">
        <f t="shared" si="20"/>
        <v>75</v>
      </c>
      <c r="B88" s="80"/>
      <c r="C88" s="229" t="str">
        <f t="shared" si="21"/>
        <v/>
      </c>
      <c r="D88" s="229" t="str">
        <f t="shared" si="22"/>
        <v/>
      </c>
      <c r="E88" s="229" t="str">
        <f t="shared" si="23"/>
        <v/>
      </c>
      <c r="F88" s="97" t="str">
        <f t="shared" si="24"/>
        <v/>
      </c>
      <c r="G88" s="80">
        <f t="shared" si="25"/>
        <v>75</v>
      </c>
      <c r="H88" s="80"/>
      <c r="I88" s="229" t="str">
        <f t="shared" si="26"/>
        <v/>
      </c>
      <c r="J88" s="229" t="str">
        <f t="shared" si="27"/>
        <v/>
      </c>
      <c r="K88" s="229" t="str">
        <f t="shared" si="28"/>
        <v/>
      </c>
      <c r="L88" s="97" t="str">
        <f t="shared" si="29"/>
        <v/>
      </c>
      <c r="M88" s="80">
        <f t="shared" si="30"/>
        <v>75</v>
      </c>
      <c r="N88" s="80"/>
      <c r="O88" s="229" t="str">
        <f t="shared" si="31"/>
        <v/>
      </c>
      <c r="P88" s="229" t="str">
        <f t="shared" si="32"/>
        <v/>
      </c>
      <c r="Q88" s="229" t="str">
        <f t="shared" si="33"/>
        <v/>
      </c>
      <c r="R88" s="97" t="str">
        <f t="shared" si="34"/>
        <v/>
      </c>
      <c r="S88" s="80">
        <f t="shared" si="35"/>
        <v>75</v>
      </c>
      <c r="T88" s="80"/>
      <c r="U88" s="229" t="str">
        <f t="shared" si="36"/>
        <v/>
      </c>
      <c r="V88" s="229" t="str">
        <f t="shared" si="37"/>
        <v/>
      </c>
      <c r="W88" s="229" t="str">
        <f t="shared" si="38"/>
        <v/>
      </c>
      <c r="X88" s="97" t="str">
        <f t="shared" si="39"/>
        <v/>
      </c>
    </row>
    <row r="89" spans="1:24" x14ac:dyDescent="0.2">
      <c r="A89" s="80">
        <f t="shared" si="20"/>
        <v>76</v>
      </c>
      <c r="B89" s="80"/>
      <c r="C89" s="229" t="str">
        <f t="shared" si="21"/>
        <v/>
      </c>
      <c r="D89" s="229" t="str">
        <f t="shared" si="22"/>
        <v/>
      </c>
      <c r="E89" s="229" t="str">
        <f t="shared" si="23"/>
        <v/>
      </c>
      <c r="F89" s="97" t="str">
        <f t="shared" si="24"/>
        <v/>
      </c>
      <c r="G89" s="80">
        <f t="shared" si="25"/>
        <v>76</v>
      </c>
      <c r="H89" s="80"/>
      <c r="I89" s="229" t="str">
        <f t="shared" si="26"/>
        <v/>
      </c>
      <c r="J89" s="229" t="str">
        <f t="shared" si="27"/>
        <v/>
      </c>
      <c r="K89" s="229" t="str">
        <f t="shared" si="28"/>
        <v/>
      </c>
      <c r="L89" s="97" t="str">
        <f t="shared" si="29"/>
        <v/>
      </c>
      <c r="M89" s="80">
        <f t="shared" si="30"/>
        <v>76</v>
      </c>
      <c r="N89" s="80"/>
      <c r="O89" s="229" t="str">
        <f t="shared" si="31"/>
        <v/>
      </c>
      <c r="P89" s="229" t="str">
        <f t="shared" si="32"/>
        <v/>
      </c>
      <c r="Q89" s="229" t="str">
        <f t="shared" si="33"/>
        <v/>
      </c>
      <c r="R89" s="97" t="str">
        <f t="shared" si="34"/>
        <v/>
      </c>
      <c r="S89" s="80">
        <f t="shared" si="35"/>
        <v>76</v>
      </c>
      <c r="T89" s="80"/>
      <c r="U89" s="229" t="str">
        <f t="shared" si="36"/>
        <v/>
      </c>
      <c r="V89" s="229" t="str">
        <f t="shared" si="37"/>
        <v/>
      </c>
      <c r="W89" s="229" t="str">
        <f t="shared" si="38"/>
        <v/>
      </c>
      <c r="X89" s="97" t="str">
        <f t="shared" si="39"/>
        <v/>
      </c>
    </row>
    <row r="90" spans="1:24" x14ac:dyDescent="0.2">
      <c r="A90" s="80">
        <f t="shared" si="20"/>
        <v>77</v>
      </c>
      <c r="B90" s="80"/>
      <c r="C90" s="229" t="str">
        <f t="shared" si="21"/>
        <v/>
      </c>
      <c r="D90" s="229" t="str">
        <f t="shared" si="22"/>
        <v/>
      </c>
      <c r="E90" s="229" t="str">
        <f t="shared" si="23"/>
        <v/>
      </c>
      <c r="F90" s="97" t="str">
        <f t="shared" si="24"/>
        <v/>
      </c>
      <c r="G90" s="80">
        <f t="shared" si="25"/>
        <v>77</v>
      </c>
      <c r="H90" s="80"/>
      <c r="I90" s="229" t="str">
        <f t="shared" si="26"/>
        <v/>
      </c>
      <c r="J90" s="229" t="str">
        <f t="shared" si="27"/>
        <v/>
      </c>
      <c r="K90" s="229" t="str">
        <f t="shared" si="28"/>
        <v/>
      </c>
      <c r="L90" s="97" t="str">
        <f t="shared" si="29"/>
        <v/>
      </c>
      <c r="M90" s="80">
        <f t="shared" si="30"/>
        <v>77</v>
      </c>
      <c r="N90" s="80"/>
      <c r="O90" s="229" t="str">
        <f t="shared" si="31"/>
        <v/>
      </c>
      <c r="P90" s="229" t="str">
        <f t="shared" si="32"/>
        <v/>
      </c>
      <c r="Q90" s="229" t="str">
        <f t="shared" si="33"/>
        <v/>
      </c>
      <c r="R90" s="97" t="str">
        <f t="shared" si="34"/>
        <v/>
      </c>
      <c r="S90" s="80">
        <f t="shared" si="35"/>
        <v>77</v>
      </c>
      <c r="T90" s="80"/>
      <c r="U90" s="229" t="str">
        <f t="shared" si="36"/>
        <v/>
      </c>
      <c r="V90" s="229" t="str">
        <f t="shared" si="37"/>
        <v/>
      </c>
      <c r="W90" s="229" t="str">
        <f t="shared" si="38"/>
        <v/>
      </c>
      <c r="X90" s="97" t="str">
        <f t="shared" si="39"/>
        <v/>
      </c>
    </row>
    <row r="91" spans="1:24" x14ac:dyDescent="0.2">
      <c r="A91" s="80">
        <f t="shared" si="20"/>
        <v>78</v>
      </c>
      <c r="B91" s="80"/>
      <c r="C91" s="229" t="str">
        <f t="shared" si="21"/>
        <v/>
      </c>
      <c r="D91" s="229" t="str">
        <f t="shared" si="22"/>
        <v/>
      </c>
      <c r="E91" s="229" t="str">
        <f t="shared" si="23"/>
        <v/>
      </c>
      <c r="F91" s="97" t="str">
        <f t="shared" si="24"/>
        <v/>
      </c>
      <c r="G91" s="80">
        <f t="shared" si="25"/>
        <v>78</v>
      </c>
      <c r="H91" s="80"/>
      <c r="I91" s="229" t="str">
        <f t="shared" si="26"/>
        <v/>
      </c>
      <c r="J91" s="229" t="str">
        <f t="shared" si="27"/>
        <v/>
      </c>
      <c r="K91" s="229" t="str">
        <f t="shared" si="28"/>
        <v/>
      </c>
      <c r="L91" s="97" t="str">
        <f t="shared" si="29"/>
        <v/>
      </c>
      <c r="M91" s="80">
        <f t="shared" si="30"/>
        <v>78</v>
      </c>
      <c r="N91" s="80"/>
      <c r="O91" s="229" t="str">
        <f t="shared" si="31"/>
        <v/>
      </c>
      <c r="P91" s="229" t="str">
        <f t="shared" si="32"/>
        <v/>
      </c>
      <c r="Q91" s="229" t="str">
        <f t="shared" si="33"/>
        <v/>
      </c>
      <c r="R91" s="97" t="str">
        <f t="shared" si="34"/>
        <v/>
      </c>
      <c r="S91" s="80">
        <f t="shared" si="35"/>
        <v>78</v>
      </c>
      <c r="T91" s="80"/>
      <c r="U91" s="229" t="str">
        <f t="shared" si="36"/>
        <v/>
      </c>
      <c r="V91" s="229" t="str">
        <f t="shared" si="37"/>
        <v/>
      </c>
      <c r="W91" s="229" t="str">
        <f t="shared" si="38"/>
        <v/>
      </c>
      <c r="X91" s="97" t="str">
        <f t="shared" si="39"/>
        <v/>
      </c>
    </row>
    <row r="92" spans="1:24" x14ac:dyDescent="0.2">
      <c r="A92" s="80">
        <f t="shared" si="20"/>
        <v>79</v>
      </c>
      <c r="B92" s="80"/>
      <c r="C92" s="229" t="str">
        <f t="shared" si="21"/>
        <v/>
      </c>
      <c r="D92" s="229" t="str">
        <f t="shared" si="22"/>
        <v/>
      </c>
      <c r="E92" s="229" t="str">
        <f t="shared" si="23"/>
        <v/>
      </c>
      <c r="F92" s="97" t="str">
        <f t="shared" si="24"/>
        <v/>
      </c>
      <c r="G92" s="80">
        <f t="shared" si="25"/>
        <v>79</v>
      </c>
      <c r="H92" s="80"/>
      <c r="I92" s="229" t="str">
        <f t="shared" si="26"/>
        <v/>
      </c>
      <c r="J92" s="229" t="str">
        <f t="shared" si="27"/>
        <v/>
      </c>
      <c r="K92" s="229" t="str">
        <f t="shared" si="28"/>
        <v/>
      </c>
      <c r="L92" s="97" t="str">
        <f t="shared" si="29"/>
        <v/>
      </c>
      <c r="M92" s="80">
        <f t="shared" si="30"/>
        <v>79</v>
      </c>
      <c r="N92" s="80"/>
      <c r="O92" s="229" t="str">
        <f t="shared" si="31"/>
        <v/>
      </c>
      <c r="P92" s="229" t="str">
        <f t="shared" si="32"/>
        <v/>
      </c>
      <c r="Q92" s="229" t="str">
        <f t="shared" si="33"/>
        <v/>
      </c>
      <c r="R92" s="97" t="str">
        <f t="shared" si="34"/>
        <v/>
      </c>
      <c r="S92" s="80">
        <f t="shared" si="35"/>
        <v>79</v>
      </c>
      <c r="T92" s="80"/>
      <c r="U92" s="229" t="str">
        <f t="shared" si="36"/>
        <v/>
      </c>
      <c r="V92" s="229" t="str">
        <f t="shared" si="37"/>
        <v/>
      </c>
      <c r="W92" s="229" t="str">
        <f t="shared" si="38"/>
        <v/>
      </c>
      <c r="X92" s="97" t="str">
        <f t="shared" si="39"/>
        <v/>
      </c>
    </row>
    <row r="93" spans="1:24" x14ac:dyDescent="0.2">
      <c r="A93" s="80">
        <f t="shared" si="20"/>
        <v>80</v>
      </c>
      <c r="B93" s="80"/>
      <c r="C93" s="229" t="str">
        <f t="shared" si="21"/>
        <v/>
      </c>
      <c r="D93" s="229" t="str">
        <f t="shared" si="22"/>
        <v/>
      </c>
      <c r="E93" s="229" t="str">
        <f t="shared" si="23"/>
        <v/>
      </c>
      <c r="F93" s="97" t="str">
        <f t="shared" si="24"/>
        <v/>
      </c>
      <c r="G93" s="80">
        <f t="shared" si="25"/>
        <v>80</v>
      </c>
      <c r="H93" s="80"/>
      <c r="I93" s="229" t="str">
        <f t="shared" si="26"/>
        <v/>
      </c>
      <c r="J93" s="229" t="str">
        <f t="shared" si="27"/>
        <v/>
      </c>
      <c r="K93" s="229" t="str">
        <f t="shared" si="28"/>
        <v/>
      </c>
      <c r="L93" s="97" t="str">
        <f t="shared" si="29"/>
        <v/>
      </c>
      <c r="M93" s="80">
        <f t="shared" si="30"/>
        <v>80</v>
      </c>
      <c r="N93" s="80"/>
      <c r="O93" s="229" t="str">
        <f t="shared" si="31"/>
        <v/>
      </c>
      <c r="P93" s="229" t="str">
        <f t="shared" si="32"/>
        <v/>
      </c>
      <c r="Q93" s="229" t="str">
        <f t="shared" si="33"/>
        <v/>
      </c>
      <c r="R93" s="97" t="str">
        <f t="shared" si="34"/>
        <v/>
      </c>
      <c r="S93" s="80">
        <f t="shared" si="35"/>
        <v>80</v>
      </c>
      <c r="T93" s="80"/>
      <c r="U93" s="229" t="str">
        <f t="shared" si="36"/>
        <v/>
      </c>
      <c r="V93" s="229" t="str">
        <f t="shared" si="37"/>
        <v/>
      </c>
      <c r="W93" s="229" t="str">
        <f t="shared" si="38"/>
        <v/>
      </c>
      <c r="X93" s="97" t="str">
        <f t="shared" si="39"/>
        <v/>
      </c>
    </row>
    <row r="94" spans="1:24" x14ac:dyDescent="0.2">
      <c r="A94" s="80">
        <f t="shared" si="20"/>
        <v>81</v>
      </c>
      <c r="B94" s="80"/>
      <c r="C94" s="229" t="str">
        <f t="shared" si="21"/>
        <v/>
      </c>
      <c r="D94" s="229" t="str">
        <f t="shared" si="22"/>
        <v/>
      </c>
      <c r="E94" s="229" t="str">
        <f t="shared" si="23"/>
        <v/>
      </c>
      <c r="F94" s="97" t="str">
        <f t="shared" si="24"/>
        <v/>
      </c>
      <c r="G94" s="80">
        <f t="shared" si="25"/>
        <v>81</v>
      </c>
      <c r="H94" s="80"/>
      <c r="I94" s="229" t="str">
        <f t="shared" si="26"/>
        <v/>
      </c>
      <c r="J94" s="229" t="str">
        <f t="shared" si="27"/>
        <v/>
      </c>
      <c r="K94" s="229" t="str">
        <f t="shared" si="28"/>
        <v/>
      </c>
      <c r="L94" s="97" t="str">
        <f t="shared" si="29"/>
        <v/>
      </c>
      <c r="M94" s="80">
        <f t="shared" si="30"/>
        <v>81</v>
      </c>
      <c r="N94" s="80"/>
      <c r="O94" s="229" t="str">
        <f t="shared" si="31"/>
        <v/>
      </c>
      <c r="P94" s="229" t="str">
        <f t="shared" si="32"/>
        <v/>
      </c>
      <c r="Q94" s="229" t="str">
        <f t="shared" si="33"/>
        <v/>
      </c>
      <c r="R94" s="97" t="str">
        <f t="shared" si="34"/>
        <v/>
      </c>
      <c r="S94" s="80">
        <f t="shared" si="35"/>
        <v>81</v>
      </c>
      <c r="T94" s="80"/>
      <c r="U94" s="229" t="str">
        <f t="shared" si="36"/>
        <v/>
      </c>
      <c r="V94" s="229" t="str">
        <f t="shared" si="37"/>
        <v/>
      </c>
      <c r="W94" s="229" t="str">
        <f t="shared" si="38"/>
        <v/>
      </c>
      <c r="X94" s="97" t="str">
        <f t="shared" si="39"/>
        <v/>
      </c>
    </row>
    <row r="95" spans="1:24" x14ac:dyDescent="0.2">
      <c r="A95" s="80">
        <f t="shared" si="20"/>
        <v>82</v>
      </c>
      <c r="B95" s="80"/>
      <c r="C95" s="229" t="str">
        <f t="shared" si="21"/>
        <v/>
      </c>
      <c r="D95" s="229" t="str">
        <f t="shared" si="22"/>
        <v/>
      </c>
      <c r="E95" s="229" t="str">
        <f t="shared" si="23"/>
        <v/>
      </c>
      <c r="F95" s="97" t="str">
        <f t="shared" si="24"/>
        <v/>
      </c>
      <c r="G95" s="80">
        <f t="shared" si="25"/>
        <v>82</v>
      </c>
      <c r="H95" s="80"/>
      <c r="I95" s="229" t="str">
        <f t="shared" si="26"/>
        <v/>
      </c>
      <c r="J95" s="229" t="str">
        <f t="shared" si="27"/>
        <v/>
      </c>
      <c r="K95" s="229" t="str">
        <f t="shared" si="28"/>
        <v/>
      </c>
      <c r="L95" s="97" t="str">
        <f t="shared" si="29"/>
        <v/>
      </c>
      <c r="M95" s="80">
        <f t="shared" si="30"/>
        <v>82</v>
      </c>
      <c r="N95" s="80"/>
      <c r="O95" s="229" t="str">
        <f t="shared" si="31"/>
        <v/>
      </c>
      <c r="P95" s="229" t="str">
        <f t="shared" si="32"/>
        <v/>
      </c>
      <c r="Q95" s="229" t="str">
        <f t="shared" si="33"/>
        <v/>
      </c>
      <c r="R95" s="97" t="str">
        <f t="shared" si="34"/>
        <v/>
      </c>
      <c r="S95" s="80">
        <f t="shared" si="35"/>
        <v>82</v>
      </c>
      <c r="T95" s="80"/>
      <c r="U95" s="229" t="str">
        <f t="shared" si="36"/>
        <v/>
      </c>
      <c r="V95" s="229" t="str">
        <f t="shared" si="37"/>
        <v/>
      </c>
      <c r="W95" s="229" t="str">
        <f t="shared" si="38"/>
        <v/>
      </c>
      <c r="X95" s="97" t="str">
        <f t="shared" si="39"/>
        <v/>
      </c>
    </row>
    <row r="96" spans="1:24" x14ac:dyDescent="0.2">
      <c r="A96" s="80">
        <f t="shared" si="20"/>
        <v>83</v>
      </c>
      <c r="B96" s="80"/>
      <c r="C96" s="229" t="str">
        <f t="shared" si="21"/>
        <v/>
      </c>
      <c r="D96" s="229" t="str">
        <f t="shared" si="22"/>
        <v/>
      </c>
      <c r="E96" s="229" t="str">
        <f t="shared" si="23"/>
        <v/>
      </c>
      <c r="F96" s="97" t="str">
        <f t="shared" si="24"/>
        <v/>
      </c>
      <c r="G96" s="80">
        <f t="shared" si="25"/>
        <v>83</v>
      </c>
      <c r="H96" s="80"/>
      <c r="I96" s="229" t="str">
        <f t="shared" si="26"/>
        <v/>
      </c>
      <c r="J96" s="229" t="str">
        <f t="shared" si="27"/>
        <v/>
      </c>
      <c r="K96" s="229" t="str">
        <f t="shared" si="28"/>
        <v/>
      </c>
      <c r="L96" s="97" t="str">
        <f t="shared" si="29"/>
        <v/>
      </c>
      <c r="M96" s="80">
        <f t="shared" si="30"/>
        <v>83</v>
      </c>
      <c r="N96" s="80"/>
      <c r="O96" s="229" t="str">
        <f t="shared" si="31"/>
        <v/>
      </c>
      <c r="P96" s="229" t="str">
        <f t="shared" si="32"/>
        <v/>
      </c>
      <c r="Q96" s="229" t="str">
        <f t="shared" si="33"/>
        <v/>
      </c>
      <c r="R96" s="97" t="str">
        <f t="shared" si="34"/>
        <v/>
      </c>
      <c r="S96" s="80">
        <f t="shared" si="35"/>
        <v>83</v>
      </c>
      <c r="T96" s="80"/>
      <c r="U96" s="229" t="str">
        <f t="shared" si="36"/>
        <v/>
      </c>
      <c r="V96" s="229" t="str">
        <f t="shared" si="37"/>
        <v/>
      </c>
      <c r="W96" s="229" t="str">
        <f t="shared" si="38"/>
        <v/>
      </c>
      <c r="X96" s="97" t="str">
        <f t="shared" si="39"/>
        <v/>
      </c>
    </row>
    <row r="97" spans="1:24" x14ac:dyDescent="0.2">
      <c r="A97" s="80">
        <f t="shared" si="20"/>
        <v>84</v>
      </c>
      <c r="B97" s="80"/>
      <c r="C97" s="229" t="str">
        <f t="shared" si="21"/>
        <v/>
      </c>
      <c r="D97" s="229" t="str">
        <f t="shared" si="22"/>
        <v/>
      </c>
      <c r="E97" s="229" t="str">
        <f t="shared" si="23"/>
        <v/>
      </c>
      <c r="F97" s="97" t="str">
        <f t="shared" si="24"/>
        <v/>
      </c>
      <c r="G97" s="80">
        <f t="shared" si="25"/>
        <v>84</v>
      </c>
      <c r="H97" s="80"/>
      <c r="I97" s="229" t="str">
        <f t="shared" si="26"/>
        <v/>
      </c>
      <c r="J97" s="229" t="str">
        <f t="shared" si="27"/>
        <v/>
      </c>
      <c r="K97" s="229" t="str">
        <f t="shared" si="28"/>
        <v/>
      </c>
      <c r="L97" s="97" t="str">
        <f t="shared" si="29"/>
        <v/>
      </c>
      <c r="M97" s="80">
        <f t="shared" si="30"/>
        <v>84</v>
      </c>
      <c r="N97" s="80"/>
      <c r="O97" s="229" t="str">
        <f t="shared" si="31"/>
        <v/>
      </c>
      <c r="P97" s="229" t="str">
        <f t="shared" si="32"/>
        <v/>
      </c>
      <c r="Q97" s="229" t="str">
        <f t="shared" si="33"/>
        <v/>
      </c>
      <c r="R97" s="97" t="str">
        <f t="shared" si="34"/>
        <v/>
      </c>
      <c r="S97" s="80">
        <f t="shared" si="35"/>
        <v>84</v>
      </c>
      <c r="T97" s="80"/>
      <c r="U97" s="229" t="str">
        <f t="shared" si="36"/>
        <v/>
      </c>
      <c r="V97" s="229" t="str">
        <f t="shared" si="37"/>
        <v/>
      </c>
      <c r="W97" s="229" t="str">
        <f t="shared" si="38"/>
        <v/>
      </c>
      <c r="X97" s="97" t="str">
        <f t="shared" si="39"/>
        <v/>
      </c>
    </row>
    <row r="98" spans="1:24" x14ac:dyDescent="0.2">
      <c r="A98" s="80">
        <f t="shared" si="20"/>
        <v>85</v>
      </c>
      <c r="B98" s="80"/>
      <c r="C98" s="229" t="str">
        <f t="shared" si="21"/>
        <v/>
      </c>
      <c r="D98" s="229" t="str">
        <f t="shared" si="22"/>
        <v/>
      </c>
      <c r="E98" s="229" t="str">
        <f t="shared" si="23"/>
        <v/>
      </c>
      <c r="F98" s="97" t="str">
        <f t="shared" si="24"/>
        <v/>
      </c>
      <c r="G98" s="80">
        <f t="shared" si="25"/>
        <v>85</v>
      </c>
      <c r="H98" s="80"/>
      <c r="I98" s="229" t="str">
        <f t="shared" si="26"/>
        <v/>
      </c>
      <c r="J98" s="229" t="str">
        <f t="shared" si="27"/>
        <v/>
      </c>
      <c r="K98" s="229" t="str">
        <f t="shared" si="28"/>
        <v/>
      </c>
      <c r="L98" s="97" t="str">
        <f t="shared" si="29"/>
        <v/>
      </c>
      <c r="M98" s="80">
        <f t="shared" si="30"/>
        <v>85</v>
      </c>
      <c r="N98" s="80"/>
      <c r="O98" s="229" t="str">
        <f t="shared" si="31"/>
        <v/>
      </c>
      <c r="P98" s="229" t="str">
        <f t="shared" si="32"/>
        <v/>
      </c>
      <c r="Q98" s="229" t="str">
        <f t="shared" si="33"/>
        <v/>
      </c>
      <c r="R98" s="97" t="str">
        <f t="shared" si="34"/>
        <v/>
      </c>
      <c r="S98" s="80">
        <f t="shared" si="35"/>
        <v>85</v>
      </c>
      <c r="T98" s="80"/>
      <c r="U98" s="229" t="str">
        <f t="shared" si="36"/>
        <v/>
      </c>
      <c r="V98" s="229" t="str">
        <f t="shared" si="37"/>
        <v/>
      </c>
      <c r="W98" s="229" t="str">
        <f t="shared" si="38"/>
        <v/>
      </c>
      <c r="X98" s="97" t="str">
        <f t="shared" si="39"/>
        <v/>
      </c>
    </row>
    <row r="99" spans="1:24" x14ac:dyDescent="0.2">
      <c r="A99" s="80">
        <f t="shared" si="20"/>
        <v>86</v>
      </c>
      <c r="B99" s="80"/>
      <c r="C99" s="229" t="str">
        <f t="shared" si="21"/>
        <v/>
      </c>
      <c r="D99" s="229" t="str">
        <f t="shared" si="22"/>
        <v/>
      </c>
      <c r="E99" s="229" t="str">
        <f t="shared" si="23"/>
        <v/>
      </c>
      <c r="F99" s="97" t="str">
        <f t="shared" si="24"/>
        <v/>
      </c>
      <c r="G99" s="80">
        <f t="shared" si="25"/>
        <v>86</v>
      </c>
      <c r="H99" s="80"/>
      <c r="I99" s="229" t="str">
        <f t="shared" si="26"/>
        <v/>
      </c>
      <c r="J99" s="229" t="str">
        <f t="shared" si="27"/>
        <v/>
      </c>
      <c r="K99" s="229" t="str">
        <f t="shared" si="28"/>
        <v/>
      </c>
      <c r="L99" s="97" t="str">
        <f t="shared" si="29"/>
        <v/>
      </c>
      <c r="M99" s="80">
        <f t="shared" si="30"/>
        <v>86</v>
      </c>
      <c r="N99" s="80"/>
      <c r="O99" s="229" t="str">
        <f t="shared" si="31"/>
        <v/>
      </c>
      <c r="P99" s="229" t="str">
        <f t="shared" si="32"/>
        <v/>
      </c>
      <c r="Q99" s="229" t="str">
        <f t="shared" si="33"/>
        <v/>
      </c>
      <c r="R99" s="97" t="str">
        <f t="shared" si="34"/>
        <v/>
      </c>
      <c r="S99" s="80">
        <f t="shared" si="35"/>
        <v>86</v>
      </c>
      <c r="T99" s="80"/>
      <c r="U99" s="229" t="str">
        <f t="shared" si="36"/>
        <v/>
      </c>
      <c r="V99" s="229" t="str">
        <f t="shared" si="37"/>
        <v/>
      </c>
      <c r="W99" s="229" t="str">
        <f t="shared" si="38"/>
        <v/>
      </c>
      <c r="X99" s="97" t="str">
        <f t="shared" si="39"/>
        <v/>
      </c>
    </row>
    <row r="100" spans="1:24" x14ac:dyDescent="0.2">
      <c r="A100" s="80">
        <f t="shared" si="20"/>
        <v>87</v>
      </c>
      <c r="B100" s="80"/>
      <c r="C100" s="229" t="str">
        <f t="shared" si="21"/>
        <v/>
      </c>
      <c r="D100" s="229" t="str">
        <f t="shared" si="22"/>
        <v/>
      </c>
      <c r="E100" s="229" t="str">
        <f t="shared" si="23"/>
        <v/>
      </c>
      <c r="F100" s="97" t="str">
        <f t="shared" si="24"/>
        <v/>
      </c>
      <c r="G100" s="80">
        <f t="shared" si="25"/>
        <v>87</v>
      </c>
      <c r="H100" s="80"/>
      <c r="I100" s="229" t="str">
        <f t="shared" si="26"/>
        <v/>
      </c>
      <c r="J100" s="229" t="str">
        <f t="shared" si="27"/>
        <v/>
      </c>
      <c r="K100" s="229" t="str">
        <f t="shared" si="28"/>
        <v/>
      </c>
      <c r="L100" s="97" t="str">
        <f t="shared" si="29"/>
        <v/>
      </c>
      <c r="M100" s="80">
        <f t="shared" si="30"/>
        <v>87</v>
      </c>
      <c r="N100" s="80"/>
      <c r="O100" s="229" t="str">
        <f t="shared" si="31"/>
        <v/>
      </c>
      <c r="P100" s="229" t="str">
        <f t="shared" si="32"/>
        <v/>
      </c>
      <c r="Q100" s="229" t="str">
        <f t="shared" si="33"/>
        <v/>
      </c>
      <c r="R100" s="97" t="str">
        <f t="shared" si="34"/>
        <v/>
      </c>
      <c r="S100" s="80">
        <f t="shared" si="35"/>
        <v>87</v>
      </c>
      <c r="T100" s="80"/>
      <c r="U100" s="229" t="str">
        <f t="shared" si="36"/>
        <v/>
      </c>
      <c r="V100" s="229" t="str">
        <f t="shared" si="37"/>
        <v/>
      </c>
      <c r="W100" s="229" t="str">
        <f t="shared" si="38"/>
        <v/>
      </c>
      <c r="X100" s="97" t="str">
        <f t="shared" si="39"/>
        <v/>
      </c>
    </row>
    <row r="101" spans="1:24" x14ac:dyDescent="0.2">
      <c r="A101" s="80">
        <f t="shared" si="20"/>
        <v>88</v>
      </c>
      <c r="B101" s="80"/>
      <c r="C101" s="229" t="str">
        <f t="shared" si="21"/>
        <v/>
      </c>
      <c r="D101" s="229" t="str">
        <f t="shared" si="22"/>
        <v/>
      </c>
      <c r="E101" s="229" t="str">
        <f t="shared" si="23"/>
        <v/>
      </c>
      <c r="F101" s="97" t="str">
        <f t="shared" si="24"/>
        <v/>
      </c>
      <c r="G101" s="80">
        <f t="shared" si="25"/>
        <v>88</v>
      </c>
      <c r="H101" s="80"/>
      <c r="I101" s="229" t="str">
        <f t="shared" si="26"/>
        <v/>
      </c>
      <c r="J101" s="229" t="str">
        <f t="shared" si="27"/>
        <v/>
      </c>
      <c r="K101" s="229" t="str">
        <f t="shared" si="28"/>
        <v/>
      </c>
      <c r="L101" s="97" t="str">
        <f t="shared" si="29"/>
        <v/>
      </c>
      <c r="M101" s="80">
        <f t="shared" si="30"/>
        <v>88</v>
      </c>
      <c r="N101" s="80"/>
      <c r="O101" s="229" t="str">
        <f t="shared" si="31"/>
        <v/>
      </c>
      <c r="P101" s="229" t="str">
        <f t="shared" si="32"/>
        <v/>
      </c>
      <c r="Q101" s="229" t="str">
        <f t="shared" si="33"/>
        <v/>
      </c>
      <c r="R101" s="97" t="str">
        <f t="shared" si="34"/>
        <v/>
      </c>
      <c r="S101" s="80">
        <f t="shared" si="35"/>
        <v>88</v>
      </c>
      <c r="T101" s="80"/>
      <c r="U101" s="229" t="str">
        <f t="shared" si="36"/>
        <v/>
      </c>
      <c r="V101" s="229" t="str">
        <f t="shared" si="37"/>
        <v/>
      </c>
      <c r="W101" s="229" t="str">
        <f t="shared" si="38"/>
        <v/>
      </c>
      <c r="X101" s="97" t="str">
        <f t="shared" si="39"/>
        <v/>
      </c>
    </row>
    <row r="102" spans="1:24" x14ac:dyDescent="0.2">
      <c r="A102" s="80">
        <f t="shared" si="20"/>
        <v>89</v>
      </c>
      <c r="B102" s="80"/>
      <c r="C102" s="229" t="str">
        <f t="shared" si="21"/>
        <v/>
      </c>
      <c r="D102" s="229" t="str">
        <f t="shared" si="22"/>
        <v/>
      </c>
      <c r="E102" s="229" t="str">
        <f t="shared" si="23"/>
        <v/>
      </c>
      <c r="F102" s="97" t="str">
        <f t="shared" si="24"/>
        <v/>
      </c>
      <c r="G102" s="80">
        <f t="shared" si="25"/>
        <v>89</v>
      </c>
      <c r="H102" s="80"/>
      <c r="I102" s="229" t="str">
        <f t="shared" si="26"/>
        <v/>
      </c>
      <c r="J102" s="229" t="str">
        <f t="shared" si="27"/>
        <v/>
      </c>
      <c r="K102" s="229" t="str">
        <f t="shared" si="28"/>
        <v/>
      </c>
      <c r="L102" s="97" t="str">
        <f t="shared" si="29"/>
        <v/>
      </c>
      <c r="M102" s="80">
        <f t="shared" si="30"/>
        <v>89</v>
      </c>
      <c r="N102" s="80"/>
      <c r="O102" s="229" t="str">
        <f t="shared" si="31"/>
        <v/>
      </c>
      <c r="P102" s="229" t="str">
        <f t="shared" si="32"/>
        <v/>
      </c>
      <c r="Q102" s="229" t="str">
        <f t="shared" si="33"/>
        <v/>
      </c>
      <c r="R102" s="97" t="str">
        <f t="shared" si="34"/>
        <v/>
      </c>
      <c r="S102" s="80">
        <f t="shared" si="35"/>
        <v>89</v>
      </c>
      <c r="T102" s="80"/>
      <c r="U102" s="229" t="str">
        <f t="shared" si="36"/>
        <v/>
      </c>
      <c r="V102" s="229" t="str">
        <f t="shared" si="37"/>
        <v/>
      </c>
      <c r="W102" s="229" t="str">
        <f t="shared" si="38"/>
        <v/>
      </c>
      <c r="X102" s="97" t="str">
        <f t="shared" si="39"/>
        <v/>
      </c>
    </row>
    <row r="103" spans="1:24" x14ac:dyDescent="0.2">
      <c r="A103" s="80">
        <f t="shared" si="20"/>
        <v>90</v>
      </c>
      <c r="B103" s="80"/>
      <c r="C103" s="229" t="str">
        <f t="shared" si="21"/>
        <v/>
      </c>
      <c r="D103" s="229" t="str">
        <f t="shared" si="22"/>
        <v/>
      </c>
      <c r="E103" s="229" t="str">
        <f t="shared" si="23"/>
        <v/>
      </c>
      <c r="F103" s="97" t="str">
        <f t="shared" si="24"/>
        <v/>
      </c>
      <c r="G103" s="80">
        <f t="shared" si="25"/>
        <v>90</v>
      </c>
      <c r="H103" s="80"/>
      <c r="I103" s="229" t="str">
        <f t="shared" si="26"/>
        <v/>
      </c>
      <c r="J103" s="229" t="str">
        <f t="shared" si="27"/>
        <v/>
      </c>
      <c r="K103" s="229" t="str">
        <f t="shared" si="28"/>
        <v/>
      </c>
      <c r="L103" s="97" t="str">
        <f t="shared" si="29"/>
        <v/>
      </c>
      <c r="M103" s="80">
        <f t="shared" si="30"/>
        <v>90</v>
      </c>
      <c r="N103" s="80"/>
      <c r="O103" s="229" t="str">
        <f t="shared" si="31"/>
        <v/>
      </c>
      <c r="P103" s="229" t="str">
        <f t="shared" si="32"/>
        <v/>
      </c>
      <c r="Q103" s="229" t="str">
        <f t="shared" si="33"/>
        <v/>
      </c>
      <c r="R103" s="97" t="str">
        <f t="shared" si="34"/>
        <v/>
      </c>
      <c r="S103" s="80">
        <f t="shared" si="35"/>
        <v>90</v>
      </c>
      <c r="T103" s="80"/>
      <c r="U103" s="229" t="str">
        <f t="shared" si="36"/>
        <v/>
      </c>
      <c r="V103" s="229" t="str">
        <f t="shared" si="37"/>
        <v/>
      </c>
      <c r="W103" s="229" t="str">
        <f t="shared" si="38"/>
        <v/>
      </c>
      <c r="X103" s="97" t="str">
        <f t="shared" si="39"/>
        <v/>
      </c>
    </row>
    <row r="104" spans="1:24" x14ac:dyDescent="0.2">
      <c r="A104" s="80">
        <f t="shared" si="20"/>
        <v>91</v>
      </c>
      <c r="B104" s="80"/>
      <c r="C104" s="229" t="str">
        <f t="shared" si="21"/>
        <v/>
      </c>
      <c r="D104" s="229" t="str">
        <f t="shared" si="22"/>
        <v/>
      </c>
      <c r="E104" s="229" t="str">
        <f t="shared" si="23"/>
        <v/>
      </c>
      <c r="F104" s="97" t="str">
        <f t="shared" si="24"/>
        <v/>
      </c>
      <c r="G104" s="80">
        <f t="shared" si="25"/>
        <v>91</v>
      </c>
      <c r="H104" s="80"/>
      <c r="I104" s="229" t="str">
        <f t="shared" si="26"/>
        <v/>
      </c>
      <c r="J104" s="229" t="str">
        <f t="shared" si="27"/>
        <v/>
      </c>
      <c r="K104" s="229" t="str">
        <f t="shared" si="28"/>
        <v/>
      </c>
      <c r="L104" s="97" t="str">
        <f t="shared" si="29"/>
        <v/>
      </c>
      <c r="M104" s="80">
        <f t="shared" si="30"/>
        <v>91</v>
      </c>
      <c r="N104" s="80"/>
      <c r="O104" s="229" t="str">
        <f t="shared" si="31"/>
        <v/>
      </c>
      <c r="P104" s="229" t="str">
        <f t="shared" si="32"/>
        <v/>
      </c>
      <c r="Q104" s="229" t="str">
        <f t="shared" si="33"/>
        <v/>
      </c>
      <c r="R104" s="97" t="str">
        <f t="shared" si="34"/>
        <v/>
      </c>
      <c r="S104" s="80">
        <f t="shared" si="35"/>
        <v>91</v>
      </c>
      <c r="T104" s="80"/>
      <c r="U104" s="229" t="str">
        <f t="shared" si="36"/>
        <v/>
      </c>
      <c r="V104" s="229" t="str">
        <f t="shared" si="37"/>
        <v/>
      </c>
      <c r="W104" s="229" t="str">
        <f t="shared" si="38"/>
        <v/>
      </c>
      <c r="X104" s="97" t="str">
        <f t="shared" si="39"/>
        <v/>
      </c>
    </row>
    <row r="105" spans="1:24" x14ac:dyDescent="0.2">
      <c r="A105" s="80">
        <f t="shared" si="20"/>
        <v>92</v>
      </c>
      <c r="B105" s="80"/>
      <c r="C105" s="229" t="str">
        <f t="shared" si="21"/>
        <v/>
      </c>
      <c r="D105" s="229" t="str">
        <f t="shared" si="22"/>
        <v/>
      </c>
      <c r="E105" s="229" t="str">
        <f t="shared" si="23"/>
        <v/>
      </c>
      <c r="F105" s="97" t="str">
        <f t="shared" si="24"/>
        <v/>
      </c>
      <c r="G105" s="80">
        <f t="shared" si="25"/>
        <v>92</v>
      </c>
      <c r="H105" s="80"/>
      <c r="I105" s="229" t="str">
        <f t="shared" si="26"/>
        <v/>
      </c>
      <c r="J105" s="229" t="str">
        <f t="shared" si="27"/>
        <v/>
      </c>
      <c r="K105" s="229" t="str">
        <f t="shared" si="28"/>
        <v/>
      </c>
      <c r="L105" s="97" t="str">
        <f t="shared" si="29"/>
        <v/>
      </c>
      <c r="M105" s="80">
        <f t="shared" si="30"/>
        <v>92</v>
      </c>
      <c r="N105" s="80"/>
      <c r="O105" s="229" t="str">
        <f t="shared" si="31"/>
        <v/>
      </c>
      <c r="P105" s="229" t="str">
        <f t="shared" si="32"/>
        <v/>
      </c>
      <c r="Q105" s="229" t="str">
        <f t="shared" si="33"/>
        <v/>
      </c>
      <c r="R105" s="97" t="str">
        <f t="shared" si="34"/>
        <v/>
      </c>
      <c r="S105" s="80">
        <f t="shared" si="35"/>
        <v>92</v>
      </c>
      <c r="T105" s="80"/>
      <c r="U105" s="229" t="str">
        <f t="shared" si="36"/>
        <v/>
      </c>
      <c r="V105" s="229" t="str">
        <f t="shared" si="37"/>
        <v/>
      </c>
      <c r="W105" s="229" t="str">
        <f t="shared" si="38"/>
        <v/>
      </c>
      <c r="X105" s="97" t="str">
        <f t="shared" si="39"/>
        <v/>
      </c>
    </row>
    <row r="106" spans="1:24" x14ac:dyDescent="0.2">
      <c r="A106" s="80">
        <f t="shared" si="20"/>
        <v>93</v>
      </c>
      <c r="B106" s="80"/>
      <c r="C106" s="229" t="str">
        <f t="shared" si="21"/>
        <v/>
      </c>
      <c r="D106" s="229" t="str">
        <f t="shared" si="22"/>
        <v/>
      </c>
      <c r="E106" s="229" t="str">
        <f t="shared" si="23"/>
        <v/>
      </c>
      <c r="F106" s="97" t="str">
        <f t="shared" si="24"/>
        <v/>
      </c>
      <c r="G106" s="80">
        <f t="shared" si="25"/>
        <v>93</v>
      </c>
      <c r="H106" s="80"/>
      <c r="I106" s="229" t="str">
        <f t="shared" si="26"/>
        <v/>
      </c>
      <c r="J106" s="229" t="str">
        <f t="shared" si="27"/>
        <v/>
      </c>
      <c r="K106" s="229" t="str">
        <f t="shared" si="28"/>
        <v/>
      </c>
      <c r="L106" s="97" t="str">
        <f t="shared" si="29"/>
        <v/>
      </c>
      <c r="M106" s="80">
        <f t="shared" si="30"/>
        <v>93</v>
      </c>
      <c r="N106" s="80"/>
      <c r="O106" s="229" t="str">
        <f t="shared" si="31"/>
        <v/>
      </c>
      <c r="P106" s="229" t="str">
        <f t="shared" si="32"/>
        <v/>
      </c>
      <c r="Q106" s="229" t="str">
        <f t="shared" si="33"/>
        <v/>
      </c>
      <c r="R106" s="97" t="str">
        <f t="shared" si="34"/>
        <v/>
      </c>
      <c r="S106" s="80">
        <f t="shared" si="35"/>
        <v>93</v>
      </c>
      <c r="T106" s="80"/>
      <c r="U106" s="229" t="str">
        <f t="shared" si="36"/>
        <v/>
      </c>
      <c r="V106" s="229" t="str">
        <f t="shared" si="37"/>
        <v/>
      </c>
      <c r="W106" s="229" t="str">
        <f t="shared" si="38"/>
        <v/>
      </c>
      <c r="X106" s="97" t="str">
        <f t="shared" si="39"/>
        <v/>
      </c>
    </row>
    <row r="107" spans="1:24" x14ac:dyDescent="0.2">
      <c r="A107" s="80">
        <f t="shared" si="20"/>
        <v>94</v>
      </c>
      <c r="B107" s="80"/>
      <c r="C107" s="229" t="str">
        <f t="shared" si="21"/>
        <v/>
      </c>
      <c r="D107" s="229" t="str">
        <f t="shared" si="22"/>
        <v/>
      </c>
      <c r="E107" s="229" t="str">
        <f t="shared" si="23"/>
        <v/>
      </c>
      <c r="F107" s="97" t="str">
        <f t="shared" si="24"/>
        <v/>
      </c>
      <c r="G107" s="80">
        <f t="shared" si="25"/>
        <v>94</v>
      </c>
      <c r="H107" s="80"/>
      <c r="I107" s="229" t="str">
        <f t="shared" si="26"/>
        <v/>
      </c>
      <c r="J107" s="229" t="str">
        <f t="shared" si="27"/>
        <v/>
      </c>
      <c r="K107" s="229" t="str">
        <f t="shared" si="28"/>
        <v/>
      </c>
      <c r="L107" s="97" t="str">
        <f t="shared" si="29"/>
        <v/>
      </c>
      <c r="M107" s="80">
        <f t="shared" si="30"/>
        <v>94</v>
      </c>
      <c r="N107" s="80"/>
      <c r="O107" s="229" t="str">
        <f t="shared" si="31"/>
        <v/>
      </c>
      <c r="P107" s="229" t="str">
        <f t="shared" si="32"/>
        <v/>
      </c>
      <c r="Q107" s="229" t="str">
        <f t="shared" si="33"/>
        <v/>
      </c>
      <c r="R107" s="97" t="str">
        <f t="shared" si="34"/>
        <v/>
      </c>
      <c r="S107" s="80">
        <f t="shared" si="35"/>
        <v>94</v>
      </c>
      <c r="T107" s="80"/>
      <c r="U107" s="229" t="str">
        <f t="shared" si="36"/>
        <v/>
      </c>
      <c r="V107" s="229" t="str">
        <f t="shared" si="37"/>
        <v/>
      </c>
      <c r="W107" s="229" t="str">
        <f t="shared" si="38"/>
        <v/>
      </c>
      <c r="X107" s="97" t="str">
        <f t="shared" si="39"/>
        <v/>
      </c>
    </row>
    <row r="108" spans="1:24" x14ac:dyDescent="0.2">
      <c r="A108" s="80">
        <f t="shared" si="20"/>
        <v>95</v>
      </c>
      <c r="B108" s="80"/>
      <c r="C108" s="229" t="str">
        <f t="shared" si="21"/>
        <v/>
      </c>
      <c r="D108" s="229" t="str">
        <f t="shared" si="22"/>
        <v/>
      </c>
      <c r="E108" s="229" t="str">
        <f t="shared" si="23"/>
        <v/>
      </c>
      <c r="F108" s="97" t="str">
        <f t="shared" si="24"/>
        <v/>
      </c>
      <c r="G108" s="80">
        <f t="shared" si="25"/>
        <v>95</v>
      </c>
      <c r="H108" s="80"/>
      <c r="I108" s="229" t="str">
        <f t="shared" si="26"/>
        <v/>
      </c>
      <c r="J108" s="229" t="str">
        <f t="shared" si="27"/>
        <v/>
      </c>
      <c r="K108" s="229" t="str">
        <f t="shared" si="28"/>
        <v/>
      </c>
      <c r="L108" s="97" t="str">
        <f t="shared" si="29"/>
        <v/>
      </c>
      <c r="M108" s="80">
        <f t="shared" si="30"/>
        <v>95</v>
      </c>
      <c r="N108" s="80"/>
      <c r="O108" s="229" t="str">
        <f t="shared" si="31"/>
        <v/>
      </c>
      <c r="P108" s="229" t="str">
        <f t="shared" si="32"/>
        <v/>
      </c>
      <c r="Q108" s="229" t="str">
        <f t="shared" si="33"/>
        <v/>
      </c>
      <c r="R108" s="97" t="str">
        <f t="shared" si="34"/>
        <v/>
      </c>
      <c r="S108" s="80">
        <f t="shared" si="35"/>
        <v>95</v>
      </c>
      <c r="T108" s="80"/>
      <c r="U108" s="229" t="str">
        <f t="shared" si="36"/>
        <v/>
      </c>
      <c r="V108" s="229" t="str">
        <f t="shared" si="37"/>
        <v/>
      </c>
      <c r="W108" s="229" t="str">
        <f t="shared" si="38"/>
        <v/>
      </c>
      <c r="X108" s="97" t="str">
        <f t="shared" si="39"/>
        <v/>
      </c>
    </row>
    <row r="109" spans="1:24" x14ac:dyDescent="0.2">
      <c r="A109" s="80">
        <f t="shared" si="20"/>
        <v>96</v>
      </c>
      <c r="B109" s="80"/>
      <c r="C109" s="229" t="str">
        <f t="shared" si="21"/>
        <v/>
      </c>
      <c r="D109" s="229" t="str">
        <f t="shared" si="22"/>
        <v/>
      </c>
      <c r="E109" s="229" t="str">
        <f t="shared" si="23"/>
        <v/>
      </c>
      <c r="F109" s="97" t="str">
        <f t="shared" si="24"/>
        <v/>
      </c>
      <c r="G109" s="80">
        <f t="shared" si="25"/>
        <v>96</v>
      </c>
      <c r="H109" s="80"/>
      <c r="I109" s="229" t="str">
        <f t="shared" si="26"/>
        <v/>
      </c>
      <c r="J109" s="229" t="str">
        <f t="shared" si="27"/>
        <v/>
      </c>
      <c r="K109" s="229" t="str">
        <f t="shared" si="28"/>
        <v/>
      </c>
      <c r="L109" s="97" t="str">
        <f t="shared" si="29"/>
        <v/>
      </c>
      <c r="M109" s="80">
        <f t="shared" si="30"/>
        <v>96</v>
      </c>
      <c r="N109" s="80"/>
      <c r="O109" s="229" t="str">
        <f t="shared" si="31"/>
        <v/>
      </c>
      <c r="P109" s="229" t="str">
        <f t="shared" si="32"/>
        <v/>
      </c>
      <c r="Q109" s="229" t="str">
        <f t="shared" si="33"/>
        <v/>
      </c>
      <c r="R109" s="97" t="str">
        <f t="shared" si="34"/>
        <v/>
      </c>
      <c r="S109" s="80">
        <f t="shared" si="35"/>
        <v>96</v>
      </c>
      <c r="T109" s="80"/>
      <c r="U109" s="229" t="str">
        <f t="shared" si="36"/>
        <v/>
      </c>
      <c r="V109" s="229" t="str">
        <f t="shared" si="37"/>
        <v/>
      </c>
      <c r="W109" s="229" t="str">
        <f t="shared" si="38"/>
        <v/>
      </c>
      <c r="X109" s="97" t="str">
        <f t="shared" si="39"/>
        <v/>
      </c>
    </row>
    <row r="110" spans="1:24" x14ac:dyDescent="0.2">
      <c r="A110" s="80">
        <f t="shared" si="20"/>
        <v>97</v>
      </c>
      <c r="B110" s="80"/>
      <c r="C110" s="229" t="str">
        <f t="shared" si="21"/>
        <v/>
      </c>
      <c r="D110" s="229" t="str">
        <f t="shared" si="22"/>
        <v/>
      </c>
      <c r="E110" s="229" t="str">
        <f t="shared" si="23"/>
        <v/>
      </c>
      <c r="F110" s="97" t="str">
        <f t="shared" si="24"/>
        <v/>
      </c>
      <c r="G110" s="80">
        <f t="shared" si="25"/>
        <v>97</v>
      </c>
      <c r="H110" s="80"/>
      <c r="I110" s="229" t="str">
        <f t="shared" si="26"/>
        <v/>
      </c>
      <c r="J110" s="229" t="str">
        <f t="shared" si="27"/>
        <v/>
      </c>
      <c r="K110" s="229" t="str">
        <f t="shared" si="28"/>
        <v/>
      </c>
      <c r="L110" s="97" t="str">
        <f t="shared" si="29"/>
        <v/>
      </c>
      <c r="M110" s="80">
        <f t="shared" si="30"/>
        <v>97</v>
      </c>
      <c r="N110" s="80"/>
      <c r="O110" s="229" t="str">
        <f t="shared" si="31"/>
        <v/>
      </c>
      <c r="P110" s="229" t="str">
        <f t="shared" si="32"/>
        <v/>
      </c>
      <c r="Q110" s="229" t="str">
        <f t="shared" si="33"/>
        <v/>
      </c>
      <c r="R110" s="97" t="str">
        <f t="shared" si="34"/>
        <v/>
      </c>
      <c r="S110" s="80">
        <f t="shared" si="35"/>
        <v>97</v>
      </c>
      <c r="T110" s="80"/>
      <c r="U110" s="229" t="str">
        <f t="shared" si="36"/>
        <v/>
      </c>
      <c r="V110" s="229" t="str">
        <f t="shared" si="37"/>
        <v/>
      </c>
      <c r="W110" s="229" t="str">
        <f t="shared" si="38"/>
        <v/>
      </c>
      <c r="X110" s="97" t="str">
        <f t="shared" si="39"/>
        <v/>
      </c>
    </row>
    <row r="111" spans="1:24" x14ac:dyDescent="0.2">
      <c r="A111" s="80">
        <f t="shared" si="20"/>
        <v>98</v>
      </c>
      <c r="B111" s="80"/>
      <c r="C111" s="229" t="str">
        <f t="shared" si="21"/>
        <v/>
      </c>
      <c r="D111" s="229" t="str">
        <f t="shared" si="22"/>
        <v/>
      </c>
      <c r="E111" s="229" t="str">
        <f t="shared" si="23"/>
        <v/>
      </c>
      <c r="F111" s="97" t="str">
        <f t="shared" si="24"/>
        <v/>
      </c>
      <c r="G111" s="80">
        <f t="shared" si="25"/>
        <v>98</v>
      </c>
      <c r="H111" s="80"/>
      <c r="I111" s="229" t="str">
        <f t="shared" si="26"/>
        <v/>
      </c>
      <c r="J111" s="229" t="str">
        <f t="shared" si="27"/>
        <v/>
      </c>
      <c r="K111" s="229" t="str">
        <f t="shared" si="28"/>
        <v/>
      </c>
      <c r="L111" s="97" t="str">
        <f t="shared" si="29"/>
        <v/>
      </c>
      <c r="M111" s="80">
        <f t="shared" si="30"/>
        <v>98</v>
      </c>
      <c r="N111" s="80"/>
      <c r="O111" s="229" t="str">
        <f t="shared" si="31"/>
        <v/>
      </c>
      <c r="P111" s="229" t="str">
        <f t="shared" si="32"/>
        <v/>
      </c>
      <c r="Q111" s="229" t="str">
        <f t="shared" si="33"/>
        <v/>
      </c>
      <c r="R111" s="97" t="str">
        <f t="shared" si="34"/>
        <v/>
      </c>
      <c r="S111" s="80">
        <f t="shared" si="35"/>
        <v>98</v>
      </c>
      <c r="T111" s="80"/>
      <c r="U111" s="229" t="str">
        <f t="shared" si="36"/>
        <v/>
      </c>
      <c r="V111" s="229" t="str">
        <f t="shared" si="37"/>
        <v/>
      </c>
      <c r="W111" s="229" t="str">
        <f t="shared" si="38"/>
        <v/>
      </c>
      <c r="X111" s="97" t="str">
        <f t="shared" si="39"/>
        <v/>
      </c>
    </row>
    <row r="112" spans="1:24" x14ac:dyDescent="0.2">
      <c r="A112" s="80">
        <f t="shared" si="20"/>
        <v>99</v>
      </c>
      <c r="B112" s="80"/>
      <c r="C112" s="229" t="str">
        <f t="shared" si="21"/>
        <v/>
      </c>
      <c r="D112" s="229" t="str">
        <f t="shared" si="22"/>
        <v/>
      </c>
      <c r="E112" s="229" t="str">
        <f t="shared" si="23"/>
        <v/>
      </c>
      <c r="F112" s="97" t="str">
        <f t="shared" si="24"/>
        <v/>
      </c>
      <c r="G112" s="80">
        <f t="shared" si="25"/>
        <v>99</v>
      </c>
      <c r="H112" s="80"/>
      <c r="I112" s="229" t="str">
        <f t="shared" si="26"/>
        <v/>
      </c>
      <c r="J112" s="229" t="str">
        <f t="shared" si="27"/>
        <v/>
      </c>
      <c r="K112" s="229" t="str">
        <f t="shared" si="28"/>
        <v/>
      </c>
      <c r="L112" s="97" t="str">
        <f t="shared" si="29"/>
        <v/>
      </c>
      <c r="M112" s="80">
        <f t="shared" si="30"/>
        <v>99</v>
      </c>
      <c r="N112" s="80"/>
      <c r="O112" s="229" t="str">
        <f t="shared" si="31"/>
        <v/>
      </c>
      <c r="P112" s="229" t="str">
        <f t="shared" si="32"/>
        <v/>
      </c>
      <c r="Q112" s="229" t="str">
        <f t="shared" si="33"/>
        <v/>
      </c>
      <c r="R112" s="97" t="str">
        <f t="shared" si="34"/>
        <v/>
      </c>
      <c r="S112" s="80">
        <f t="shared" si="35"/>
        <v>99</v>
      </c>
      <c r="T112" s="80"/>
      <c r="U112" s="229" t="str">
        <f t="shared" si="36"/>
        <v/>
      </c>
      <c r="V112" s="229" t="str">
        <f t="shared" si="37"/>
        <v/>
      </c>
      <c r="W112" s="229" t="str">
        <f t="shared" si="38"/>
        <v/>
      </c>
      <c r="X112" s="97" t="str">
        <f t="shared" si="39"/>
        <v/>
      </c>
    </row>
    <row r="113" spans="1:24" x14ac:dyDescent="0.2">
      <c r="A113" s="80">
        <f t="shared" si="20"/>
        <v>100</v>
      </c>
      <c r="B113" s="80"/>
      <c r="C113" s="229" t="str">
        <f t="shared" si="21"/>
        <v/>
      </c>
      <c r="D113" s="229" t="str">
        <f t="shared" si="22"/>
        <v/>
      </c>
      <c r="E113" s="229" t="str">
        <f t="shared" si="23"/>
        <v/>
      </c>
      <c r="F113" s="97" t="str">
        <f t="shared" si="24"/>
        <v/>
      </c>
      <c r="G113" s="80">
        <f t="shared" si="25"/>
        <v>100</v>
      </c>
      <c r="H113" s="80"/>
      <c r="I113" s="229" t="str">
        <f t="shared" si="26"/>
        <v/>
      </c>
      <c r="J113" s="229" t="str">
        <f t="shared" si="27"/>
        <v/>
      </c>
      <c r="K113" s="229" t="str">
        <f t="shared" si="28"/>
        <v/>
      </c>
      <c r="L113" s="97" t="str">
        <f t="shared" si="29"/>
        <v/>
      </c>
      <c r="M113" s="80">
        <f t="shared" si="30"/>
        <v>100</v>
      </c>
      <c r="N113" s="80"/>
      <c r="O113" s="229" t="str">
        <f t="shared" si="31"/>
        <v/>
      </c>
      <c r="P113" s="229" t="str">
        <f t="shared" si="32"/>
        <v/>
      </c>
      <c r="Q113" s="229" t="str">
        <f t="shared" si="33"/>
        <v/>
      </c>
      <c r="R113" s="97" t="str">
        <f t="shared" si="34"/>
        <v/>
      </c>
      <c r="S113" s="80">
        <f t="shared" si="35"/>
        <v>100</v>
      </c>
      <c r="T113" s="80"/>
      <c r="U113" s="229" t="str">
        <f t="shared" si="36"/>
        <v/>
      </c>
      <c r="V113" s="229" t="str">
        <f t="shared" si="37"/>
        <v/>
      </c>
      <c r="W113" s="229" t="str">
        <f t="shared" si="38"/>
        <v/>
      </c>
      <c r="X113" s="97" t="str">
        <f t="shared" si="39"/>
        <v/>
      </c>
    </row>
    <row r="114" spans="1:24" x14ac:dyDescent="0.2">
      <c r="A114" s="80">
        <f t="shared" si="20"/>
        <v>101</v>
      </c>
      <c r="B114" s="80"/>
      <c r="C114" s="229" t="str">
        <f t="shared" si="21"/>
        <v/>
      </c>
      <c r="D114" s="229" t="str">
        <f t="shared" si="22"/>
        <v/>
      </c>
      <c r="E114" s="229" t="str">
        <f t="shared" si="23"/>
        <v/>
      </c>
      <c r="F114" s="97" t="str">
        <f t="shared" si="24"/>
        <v/>
      </c>
      <c r="G114" s="80">
        <f t="shared" si="25"/>
        <v>101</v>
      </c>
      <c r="H114" s="80"/>
      <c r="I114" s="229" t="str">
        <f t="shared" si="26"/>
        <v/>
      </c>
      <c r="J114" s="229" t="str">
        <f t="shared" si="27"/>
        <v/>
      </c>
      <c r="K114" s="229" t="str">
        <f t="shared" si="28"/>
        <v/>
      </c>
      <c r="L114" s="97" t="str">
        <f t="shared" si="29"/>
        <v/>
      </c>
      <c r="M114" s="80">
        <f t="shared" si="30"/>
        <v>101</v>
      </c>
      <c r="N114" s="80"/>
      <c r="O114" s="229" t="str">
        <f t="shared" si="31"/>
        <v/>
      </c>
      <c r="P114" s="229" t="str">
        <f t="shared" si="32"/>
        <v/>
      </c>
      <c r="Q114" s="229" t="str">
        <f t="shared" si="33"/>
        <v/>
      </c>
      <c r="R114" s="97" t="str">
        <f t="shared" si="34"/>
        <v/>
      </c>
      <c r="S114" s="80">
        <f t="shared" si="35"/>
        <v>101</v>
      </c>
      <c r="T114" s="80"/>
      <c r="U114" s="229" t="str">
        <f t="shared" si="36"/>
        <v/>
      </c>
      <c r="V114" s="229" t="str">
        <f t="shared" si="37"/>
        <v/>
      </c>
      <c r="W114" s="229" t="str">
        <f t="shared" si="38"/>
        <v/>
      </c>
      <c r="X114" s="97" t="str">
        <f t="shared" si="39"/>
        <v/>
      </c>
    </row>
    <row r="115" spans="1:24" x14ac:dyDescent="0.2">
      <c r="A115" s="80">
        <f t="shared" si="20"/>
        <v>102</v>
      </c>
      <c r="B115" s="80"/>
      <c r="C115" s="229" t="str">
        <f t="shared" si="21"/>
        <v/>
      </c>
      <c r="D115" s="229" t="str">
        <f t="shared" si="22"/>
        <v/>
      </c>
      <c r="E115" s="229" t="str">
        <f t="shared" si="23"/>
        <v/>
      </c>
      <c r="F115" s="97" t="str">
        <f t="shared" si="24"/>
        <v/>
      </c>
      <c r="G115" s="80">
        <f t="shared" si="25"/>
        <v>102</v>
      </c>
      <c r="H115" s="80"/>
      <c r="I115" s="229" t="str">
        <f t="shared" si="26"/>
        <v/>
      </c>
      <c r="J115" s="229" t="str">
        <f t="shared" si="27"/>
        <v/>
      </c>
      <c r="K115" s="229" t="str">
        <f t="shared" si="28"/>
        <v/>
      </c>
      <c r="L115" s="97" t="str">
        <f t="shared" si="29"/>
        <v/>
      </c>
      <c r="M115" s="80">
        <f t="shared" si="30"/>
        <v>102</v>
      </c>
      <c r="N115" s="80"/>
      <c r="O115" s="229" t="str">
        <f t="shared" si="31"/>
        <v/>
      </c>
      <c r="P115" s="229" t="str">
        <f t="shared" si="32"/>
        <v/>
      </c>
      <c r="Q115" s="229" t="str">
        <f t="shared" si="33"/>
        <v/>
      </c>
      <c r="R115" s="97" t="str">
        <f t="shared" si="34"/>
        <v/>
      </c>
      <c r="S115" s="80">
        <f t="shared" si="35"/>
        <v>102</v>
      </c>
      <c r="T115" s="80"/>
      <c r="U115" s="229" t="str">
        <f t="shared" si="36"/>
        <v/>
      </c>
      <c r="V115" s="229" t="str">
        <f t="shared" si="37"/>
        <v/>
      </c>
      <c r="W115" s="229" t="str">
        <f t="shared" si="38"/>
        <v/>
      </c>
      <c r="X115" s="97" t="str">
        <f t="shared" si="39"/>
        <v/>
      </c>
    </row>
    <row r="116" spans="1:24" x14ac:dyDescent="0.2">
      <c r="A116" s="80">
        <f t="shared" si="20"/>
        <v>103</v>
      </c>
      <c r="B116" s="80"/>
      <c r="C116" s="229" t="str">
        <f t="shared" si="21"/>
        <v/>
      </c>
      <c r="D116" s="229" t="str">
        <f t="shared" si="22"/>
        <v/>
      </c>
      <c r="E116" s="229" t="str">
        <f t="shared" si="23"/>
        <v/>
      </c>
      <c r="F116" s="97" t="str">
        <f t="shared" si="24"/>
        <v/>
      </c>
      <c r="G116" s="80">
        <f t="shared" si="25"/>
        <v>103</v>
      </c>
      <c r="H116" s="80"/>
      <c r="I116" s="229" t="str">
        <f t="shared" si="26"/>
        <v/>
      </c>
      <c r="J116" s="229" t="str">
        <f t="shared" si="27"/>
        <v/>
      </c>
      <c r="K116" s="229" t="str">
        <f t="shared" si="28"/>
        <v/>
      </c>
      <c r="L116" s="97" t="str">
        <f t="shared" si="29"/>
        <v/>
      </c>
      <c r="M116" s="80">
        <f t="shared" si="30"/>
        <v>103</v>
      </c>
      <c r="N116" s="80"/>
      <c r="O116" s="229" t="str">
        <f t="shared" si="31"/>
        <v/>
      </c>
      <c r="P116" s="229" t="str">
        <f t="shared" si="32"/>
        <v/>
      </c>
      <c r="Q116" s="229" t="str">
        <f t="shared" si="33"/>
        <v/>
      </c>
      <c r="R116" s="97" t="str">
        <f t="shared" si="34"/>
        <v/>
      </c>
      <c r="S116" s="80">
        <f t="shared" si="35"/>
        <v>103</v>
      </c>
      <c r="T116" s="80"/>
      <c r="U116" s="229" t="str">
        <f t="shared" si="36"/>
        <v/>
      </c>
      <c r="V116" s="229" t="str">
        <f t="shared" si="37"/>
        <v/>
      </c>
      <c r="W116" s="229" t="str">
        <f t="shared" si="38"/>
        <v/>
      </c>
      <c r="X116" s="97" t="str">
        <f t="shared" si="39"/>
        <v/>
      </c>
    </row>
    <row r="117" spans="1:24" x14ac:dyDescent="0.2">
      <c r="A117" s="80">
        <f t="shared" si="20"/>
        <v>104</v>
      </c>
      <c r="B117" s="80"/>
      <c r="C117" s="229" t="str">
        <f t="shared" si="21"/>
        <v/>
      </c>
      <c r="D117" s="229" t="str">
        <f t="shared" si="22"/>
        <v/>
      </c>
      <c r="E117" s="229" t="str">
        <f t="shared" si="23"/>
        <v/>
      </c>
      <c r="F117" s="97" t="str">
        <f t="shared" si="24"/>
        <v/>
      </c>
      <c r="G117" s="80">
        <f t="shared" si="25"/>
        <v>104</v>
      </c>
      <c r="H117" s="80"/>
      <c r="I117" s="229" t="str">
        <f t="shared" si="26"/>
        <v/>
      </c>
      <c r="J117" s="229" t="str">
        <f t="shared" si="27"/>
        <v/>
      </c>
      <c r="K117" s="229" t="str">
        <f t="shared" si="28"/>
        <v/>
      </c>
      <c r="L117" s="97" t="str">
        <f t="shared" si="29"/>
        <v/>
      </c>
      <c r="M117" s="80">
        <f t="shared" si="30"/>
        <v>104</v>
      </c>
      <c r="N117" s="80"/>
      <c r="O117" s="229" t="str">
        <f t="shared" si="31"/>
        <v/>
      </c>
      <c r="P117" s="229" t="str">
        <f t="shared" si="32"/>
        <v/>
      </c>
      <c r="Q117" s="229" t="str">
        <f t="shared" si="33"/>
        <v/>
      </c>
      <c r="R117" s="97" t="str">
        <f t="shared" si="34"/>
        <v/>
      </c>
      <c r="S117" s="80">
        <f t="shared" si="35"/>
        <v>104</v>
      </c>
      <c r="T117" s="80"/>
      <c r="U117" s="229" t="str">
        <f t="shared" si="36"/>
        <v/>
      </c>
      <c r="V117" s="229" t="str">
        <f t="shared" si="37"/>
        <v/>
      </c>
      <c r="W117" s="229" t="str">
        <f t="shared" si="38"/>
        <v/>
      </c>
      <c r="X117" s="97" t="str">
        <f t="shared" si="39"/>
        <v/>
      </c>
    </row>
    <row r="118" spans="1:24" x14ac:dyDescent="0.2">
      <c r="A118" s="80">
        <f t="shared" si="20"/>
        <v>105</v>
      </c>
      <c r="B118" s="80"/>
      <c r="C118" s="229" t="str">
        <f t="shared" si="21"/>
        <v/>
      </c>
      <c r="D118" s="229" t="str">
        <f t="shared" si="22"/>
        <v/>
      </c>
      <c r="E118" s="229" t="str">
        <f t="shared" si="23"/>
        <v/>
      </c>
      <c r="F118" s="97" t="str">
        <f t="shared" si="24"/>
        <v/>
      </c>
      <c r="G118" s="80">
        <f t="shared" si="25"/>
        <v>105</v>
      </c>
      <c r="H118" s="80"/>
      <c r="I118" s="229" t="str">
        <f t="shared" si="26"/>
        <v/>
      </c>
      <c r="J118" s="229" t="str">
        <f t="shared" si="27"/>
        <v/>
      </c>
      <c r="K118" s="229" t="str">
        <f t="shared" si="28"/>
        <v/>
      </c>
      <c r="L118" s="97" t="str">
        <f t="shared" si="29"/>
        <v/>
      </c>
      <c r="M118" s="80">
        <f t="shared" si="30"/>
        <v>105</v>
      </c>
      <c r="N118" s="80"/>
      <c r="O118" s="229" t="str">
        <f t="shared" si="31"/>
        <v/>
      </c>
      <c r="P118" s="229" t="str">
        <f t="shared" si="32"/>
        <v/>
      </c>
      <c r="Q118" s="229" t="str">
        <f t="shared" si="33"/>
        <v/>
      </c>
      <c r="R118" s="97" t="str">
        <f t="shared" si="34"/>
        <v/>
      </c>
      <c r="S118" s="80">
        <f t="shared" si="35"/>
        <v>105</v>
      </c>
      <c r="T118" s="80"/>
      <c r="U118" s="229" t="str">
        <f t="shared" si="36"/>
        <v/>
      </c>
      <c r="V118" s="229" t="str">
        <f t="shared" si="37"/>
        <v/>
      </c>
      <c r="W118" s="229" t="str">
        <f t="shared" si="38"/>
        <v/>
      </c>
      <c r="X118" s="97" t="str">
        <f t="shared" si="39"/>
        <v/>
      </c>
    </row>
    <row r="119" spans="1:24" x14ac:dyDescent="0.2">
      <c r="A119" s="80">
        <f t="shared" si="20"/>
        <v>106</v>
      </c>
      <c r="B119" s="80"/>
      <c r="C119" s="229" t="str">
        <f t="shared" si="21"/>
        <v/>
      </c>
      <c r="D119" s="229" t="str">
        <f t="shared" si="22"/>
        <v/>
      </c>
      <c r="E119" s="229" t="str">
        <f t="shared" si="23"/>
        <v/>
      </c>
      <c r="F119" s="97" t="str">
        <f t="shared" si="24"/>
        <v/>
      </c>
      <c r="G119" s="80">
        <f t="shared" si="25"/>
        <v>106</v>
      </c>
      <c r="H119" s="80"/>
      <c r="I119" s="229" t="str">
        <f t="shared" si="26"/>
        <v/>
      </c>
      <c r="J119" s="229" t="str">
        <f t="shared" si="27"/>
        <v/>
      </c>
      <c r="K119" s="229" t="str">
        <f t="shared" si="28"/>
        <v/>
      </c>
      <c r="L119" s="97" t="str">
        <f t="shared" si="29"/>
        <v/>
      </c>
      <c r="M119" s="80">
        <f t="shared" si="30"/>
        <v>106</v>
      </c>
      <c r="N119" s="80"/>
      <c r="O119" s="229" t="str">
        <f t="shared" si="31"/>
        <v/>
      </c>
      <c r="P119" s="229" t="str">
        <f t="shared" si="32"/>
        <v/>
      </c>
      <c r="Q119" s="229" t="str">
        <f t="shared" si="33"/>
        <v/>
      </c>
      <c r="R119" s="97" t="str">
        <f t="shared" si="34"/>
        <v/>
      </c>
      <c r="S119" s="80">
        <f t="shared" si="35"/>
        <v>106</v>
      </c>
      <c r="T119" s="80"/>
      <c r="U119" s="229" t="str">
        <f t="shared" si="36"/>
        <v/>
      </c>
      <c r="V119" s="229" t="str">
        <f t="shared" si="37"/>
        <v/>
      </c>
      <c r="W119" s="229" t="str">
        <f t="shared" si="38"/>
        <v/>
      </c>
      <c r="X119" s="97" t="str">
        <f t="shared" si="39"/>
        <v/>
      </c>
    </row>
    <row r="120" spans="1:24" x14ac:dyDescent="0.2">
      <c r="A120" s="80">
        <f t="shared" si="20"/>
        <v>107</v>
      </c>
      <c r="B120" s="80"/>
      <c r="C120" s="229" t="str">
        <f t="shared" si="21"/>
        <v/>
      </c>
      <c r="D120" s="229" t="str">
        <f t="shared" si="22"/>
        <v/>
      </c>
      <c r="E120" s="229" t="str">
        <f t="shared" si="23"/>
        <v/>
      </c>
      <c r="F120" s="97" t="str">
        <f t="shared" si="24"/>
        <v/>
      </c>
      <c r="G120" s="80">
        <f t="shared" si="25"/>
        <v>107</v>
      </c>
      <c r="H120" s="80"/>
      <c r="I120" s="229" t="str">
        <f t="shared" si="26"/>
        <v/>
      </c>
      <c r="J120" s="229" t="str">
        <f t="shared" si="27"/>
        <v/>
      </c>
      <c r="K120" s="229" t="str">
        <f t="shared" si="28"/>
        <v/>
      </c>
      <c r="L120" s="97" t="str">
        <f t="shared" si="29"/>
        <v/>
      </c>
      <c r="M120" s="80">
        <f t="shared" si="30"/>
        <v>107</v>
      </c>
      <c r="N120" s="80"/>
      <c r="O120" s="229" t="str">
        <f t="shared" si="31"/>
        <v/>
      </c>
      <c r="P120" s="229" t="str">
        <f t="shared" si="32"/>
        <v/>
      </c>
      <c r="Q120" s="229" t="str">
        <f t="shared" si="33"/>
        <v/>
      </c>
      <c r="R120" s="97" t="str">
        <f t="shared" si="34"/>
        <v/>
      </c>
      <c r="S120" s="80">
        <f t="shared" si="35"/>
        <v>107</v>
      </c>
      <c r="T120" s="80"/>
      <c r="U120" s="229" t="str">
        <f t="shared" si="36"/>
        <v/>
      </c>
      <c r="V120" s="229" t="str">
        <f t="shared" si="37"/>
        <v/>
      </c>
      <c r="W120" s="229" t="str">
        <f t="shared" si="38"/>
        <v/>
      </c>
      <c r="X120" s="97" t="str">
        <f t="shared" si="39"/>
        <v/>
      </c>
    </row>
    <row r="121" spans="1:24" x14ac:dyDescent="0.2">
      <c r="A121" s="80">
        <f t="shared" si="20"/>
        <v>108</v>
      </c>
      <c r="B121" s="80"/>
      <c r="C121" s="229" t="str">
        <f t="shared" si="21"/>
        <v/>
      </c>
      <c r="D121" s="229" t="str">
        <f t="shared" si="22"/>
        <v/>
      </c>
      <c r="E121" s="229" t="str">
        <f t="shared" si="23"/>
        <v/>
      </c>
      <c r="F121" s="97" t="str">
        <f t="shared" si="24"/>
        <v/>
      </c>
      <c r="G121" s="80">
        <f t="shared" si="25"/>
        <v>108</v>
      </c>
      <c r="H121" s="80"/>
      <c r="I121" s="229" t="str">
        <f t="shared" si="26"/>
        <v/>
      </c>
      <c r="J121" s="229" t="str">
        <f t="shared" si="27"/>
        <v/>
      </c>
      <c r="K121" s="229" t="str">
        <f t="shared" si="28"/>
        <v/>
      </c>
      <c r="L121" s="97" t="str">
        <f t="shared" si="29"/>
        <v/>
      </c>
      <c r="M121" s="80">
        <f t="shared" si="30"/>
        <v>108</v>
      </c>
      <c r="N121" s="80"/>
      <c r="O121" s="229" t="str">
        <f t="shared" si="31"/>
        <v/>
      </c>
      <c r="P121" s="229" t="str">
        <f t="shared" si="32"/>
        <v/>
      </c>
      <c r="Q121" s="229" t="str">
        <f t="shared" si="33"/>
        <v/>
      </c>
      <c r="R121" s="97" t="str">
        <f t="shared" si="34"/>
        <v/>
      </c>
      <c r="S121" s="80">
        <f t="shared" si="35"/>
        <v>108</v>
      </c>
      <c r="T121" s="80"/>
      <c r="U121" s="229" t="str">
        <f t="shared" si="36"/>
        <v/>
      </c>
      <c r="V121" s="229" t="str">
        <f t="shared" si="37"/>
        <v/>
      </c>
      <c r="W121" s="229" t="str">
        <f t="shared" si="38"/>
        <v/>
      </c>
      <c r="X121" s="97" t="str">
        <f t="shared" si="39"/>
        <v/>
      </c>
    </row>
    <row r="122" spans="1:24" x14ac:dyDescent="0.2">
      <c r="A122" s="80">
        <f t="shared" si="20"/>
        <v>109</v>
      </c>
      <c r="B122" s="80"/>
      <c r="C122" s="229" t="str">
        <f t="shared" si="21"/>
        <v/>
      </c>
      <c r="D122" s="229" t="str">
        <f t="shared" si="22"/>
        <v/>
      </c>
      <c r="E122" s="229" t="str">
        <f t="shared" si="23"/>
        <v/>
      </c>
      <c r="F122" s="97" t="str">
        <f t="shared" si="24"/>
        <v/>
      </c>
      <c r="G122" s="80">
        <f t="shared" si="25"/>
        <v>109</v>
      </c>
      <c r="H122" s="80"/>
      <c r="I122" s="229" t="str">
        <f t="shared" si="26"/>
        <v/>
      </c>
      <c r="J122" s="229" t="str">
        <f t="shared" si="27"/>
        <v/>
      </c>
      <c r="K122" s="229" t="str">
        <f t="shared" si="28"/>
        <v/>
      </c>
      <c r="L122" s="97" t="str">
        <f t="shared" si="29"/>
        <v/>
      </c>
      <c r="M122" s="80">
        <f t="shared" si="30"/>
        <v>109</v>
      </c>
      <c r="N122" s="80"/>
      <c r="O122" s="229" t="str">
        <f t="shared" si="31"/>
        <v/>
      </c>
      <c r="P122" s="229" t="str">
        <f t="shared" si="32"/>
        <v/>
      </c>
      <c r="Q122" s="229" t="str">
        <f t="shared" si="33"/>
        <v/>
      </c>
      <c r="R122" s="97" t="str">
        <f t="shared" si="34"/>
        <v/>
      </c>
      <c r="S122" s="80">
        <f t="shared" si="35"/>
        <v>109</v>
      </c>
      <c r="T122" s="80"/>
      <c r="U122" s="229" t="str">
        <f t="shared" si="36"/>
        <v/>
      </c>
      <c r="V122" s="229" t="str">
        <f t="shared" si="37"/>
        <v/>
      </c>
      <c r="W122" s="229" t="str">
        <f t="shared" si="38"/>
        <v/>
      </c>
      <c r="X122" s="97" t="str">
        <f t="shared" si="39"/>
        <v/>
      </c>
    </row>
    <row r="123" spans="1:24" x14ac:dyDescent="0.2">
      <c r="A123" s="80">
        <f t="shared" si="20"/>
        <v>110</v>
      </c>
      <c r="B123" s="80"/>
      <c r="C123" s="229" t="str">
        <f t="shared" si="21"/>
        <v/>
      </c>
      <c r="D123" s="229" t="str">
        <f t="shared" si="22"/>
        <v/>
      </c>
      <c r="E123" s="229" t="str">
        <f t="shared" si="23"/>
        <v/>
      </c>
      <c r="F123" s="97" t="str">
        <f t="shared" si="24"/>
        <v/>
      </c>
      <c r="G123" s="80">
        <f t="shared" si="25"/>
        <v>110</v>
      </c>
      <c r="H123" s="80"/>
      <c r="I123" s="229" t="str">
        <f t="shared" si="26"/>
        <v/>
      </c>
      <c r="J123" s="229" t="str">
        <f t="shared" si="27"/>
        <v/>
      </c>
      <c r="K123" s="229" t="str">
        <f t="shared" si="28"/>
        <v/>
      </c>
      <c r="L123" s="97" t="str">
        <f t="shared" si="29"/>
        <v/>
      </c>
      <c r="M123" s="80">
        <f t="shared" si="30"/>
        <v>110</v>
      </c>
      <c r="N123" s="80"/>
      <c r="O123" s="229" t="str">
        <f t="shared" si="31"/>
        <v/>
      </c>
      <c r="P123" s="229" t="str">
        <f t="shared" si="32"/>
        <v/>
      </c>
      <c r="Q123" s="229" t="str">
        <f t="shared" si="33"/>
        <v/>
      </c>
      <c r="R123" s="97" t="str">
        <f t="shared" si="34"/>
        <v/>
      </c>
      <c r="S123" s="80">
        <f t="shared" si="35"/>
        <v>110</v>
      </c>
      <c r="T123" s="80"/>
      <c r="U123" s="229" t="str">
        <f t="shared" si="36"/>
        <v/>
      </c>
      <c r="V123" s="229" t="str">
        <f t="shared" si="37"/>
        <v/>
      </c>
      <c r="W123" s="229" t="str">
        <f t="shared" si="38"/>
        <v/>
      </c>
      <c r="X123" s="97" t="str">
        <f t="shared" si="39"/>
        <v/>
      </c>
    </row>
    <row r="124" spans="1:24" x14ac:dyDescent="0.2">
      <c r="A124" s="80">
        <f t="shared" si="20"/>
        <v>111</v>
      </c>
      <c r="B124" s="80"/>
      <c r="C124" s="229" t="str">
        <f t="shared" si="21"/>
        <v/>
      </c>
      <c r="D124" s="229" t="str">
        <f t="shared" si="22"/>
        <v/>
      </c>
      <c r="E124" s="229" t="str">
        <f t="shared" si="23"/>
        <v/>
      </c>
      <c r="F124" s="97" t="str">
        <f t="shared" si="24"/>
        <v/>
      </c>
      <c r="G124" s="80">
        <f t="shared" si="25"/>
        <v>111</v>
      </c>
      <c r="H124" s="80"/>
      <c r="I124" s="229" t="str">
        <f t="shared" si="26"/>
        <v/>
      </c>
      <c r="J124" s="229" t="str">
        <f t="shared" si="27"/>
        <v/>
      </c>
      <c r="K124" s="229" t="str">
        <f t="shared" si="28"/>
        <v/>
      </c>
      <c r="L124" s="97" t="str">
        <f t="shared" si="29"/>
        <v/>
      </c>
      <c r="M124" s="80">
        <f t="shared" si="30"/>
        <v>111</v>
      </c>
      <c r="N124" s="80"/>
      <c r="O124" s="229" t="str">
        <f t="shared" si="31"/>
        <v/>
      </c>
      <c r="P124" s="229" t="str">
        <f t="shared" si="32"/>
        <v/>
      </c>
      <c r="Q124" s="229" t="str">
        <f t="shared" si="33"/>
        <v/>
      </c>
      <c r="R124" s="97" t="str">
        <f t="shared" si="34"/>
        <v/>
      </c>
      <c r="S124" s="80">
        <f t="shared" si="35"/>
        <v>111</v>
      </c>
      <c r="T124" s="80"/>
      <c r="U124" s="229" t="str">
        <f t="shared" si="36"/>
        <v/>
      </c>
      <c r="V124" s="229" t="str">
        <f t="shared" si="37"/>
        <v/>
      </c>
      <c r="W124" s="229" t="str">
        <f t="shared" si="38"/>
        <v/>
      </c>
      <c r="X124" s="97" t="str">
        <f t="shared" si="39"/>
        <v/>
      </c>
    </row>
    <row r="125" spans="1:24" x14ac:dyDescent="0.2">
      <c r="A125" s="80">
        <f t="shared" si="20"/>
        <v>112</v>
      </c>
      <c r="B125" s="80"/>
      <c r="C125" s="229" t="str">
        <f t="shared" si="21"/>
        <v/>
      </c>
      <c r="D125" s="229" t="str">
        <f t="shared" si="22"/>
        <v/>
      </c>
      <c r="E125" s="229" t="str">
        <f t="shared" si="23"/>
        <v/>
      </c>
      <c r="F125" s="97" t="str">
        <f t="shared" si="24"/>
        <v/>
      </c>
      <c r="G125" s="80">
        <f t="shared" si="25"/>
        <v>112</v>
      </c>
      <c r="H125" s="80"/>
      <c r="I125" s="229" t="str">
        <f t="shared" si="26"/>
        <v/>
      </c>
      <c r="J125" s="229" t="str">
        <f t="shared" si="27"/>
        <v/>
      </c>
      <c r="K125" s="229" t="str">
        <f t="shared" si="28"/>
        <v/>
      </c>
      <c r="L125" s="97" t="str">
        <f t="shared" si="29"/>
        <v/>
      </c>
      <c r="M125" s="80">
        <f t="shared" si="30"/>
        <v>112</v>
      </c>
      <c r="N125" s="80"/>
      <c r="O125" s="229" t="str">
        <f t="shared" si="31"/>
        <v/>
      </c>
      <c r="P125" s="229" t="str">
        <f t="shared" si="32"/>
        <v/>
      </c>
      <c r="Q125" s="229" t="str">
        <f t="shared" si="33"/>
        <v/>
      </c>
      <c r="R125" s="97" t="str">
        <f t="shared" si="34"/>
        <v/>
      </c>
      <c r="S125" s="80">
        <f t="shared" si="35"/>
        <v>112</v>
      </c>
      <c r="T125" s="80"/>
      <c r="U125" s="229" t="str">
        <f t="shared" si="36"/>
        <v/>
      </c>
      <c r="V125" s="229" t="str">
        <f t="shared" si="37"/>
        <v/>
      </c>
      <c r="W125" s="229" t="str">
        <f t="shared" si="38"/>
        <v/>
      </c>
      <c r="X125" s="97" t="str">
        <f t="shared" si="39"/>
        <v/>
      </c>
    </row>
    <row r="126" spans="1:24" x14ac:dyDescent="0.2">
      <c r="A126" s="80">
        <f t="shared" si="20"/>
        <v>113</v>
      </c>
      <c r="B126" s="80"/>
      <c r="C126" s="229" t="str">
        <f t="shared" si="21"/>
        <v/>
      </c>
      <c r="D126" s="229" t="str">
        <f t="shared" si="22"/>
        <v/>
      </c>
      <c r="E126" s="229" t="str">
        <f t="shared" si="23"/>
        <v/>
      </c>
      <c r="F126" s="97" t="str">
        <f t="shared" si="24"/>
        <v/>
      </c>
      <c r="G126" s="80">
        <f t="shared" si="25"/>
        <v>113</v>
      </c>
      <c r="H126" s="80"/>
      <c r="I126" s="229" t="str">
        <f t="shared" si="26"/>
        <v/>
      </c>
      <c r="J126" s="229" t="str">
        <f t="shared" si="27"/>
        <v/>
      </c>
      <c r="K126" s="229" t="str">
        <f t="shared" si="28"/>
        <v/>
      </c>
      <c r="L126" s="97" t="str">
        <f t="shared" si="29"/>
        <v/>
      </c>
      <c r="M126" s="80">
        <f t="shared" si="30"/>
        <v>113</v>
      </c>
      <c r="N126" s="80"/>
      <c r="O126" s="229" t="str">
        <f t="shared" si="31"/>
        <v/>
      </c>
      <c r="P126" s="229" t="str">
        <f t="shared" si="32"/>
        <v/>
      </c>
      <c r="Q126" s="229" t="str">
        <f t="shared" si="33"/>
        <v/>
      </c>
      <c r="R126" s="97" t="str">
        <f t="shared" si="34"/>
        <v/>
      </c>
      <c r="S126" s="80">
        <f t="shared" si="35"/>
        <v>113</v>
      </c>
      <c r="T126" s="80"/>
      <c r="U126" s="229" t="str">
        <f t="shared" si="36"/>
        <v/>
      </c>
      <c r="V126" s="229" t="str">
        <f t="shared" si="37"/>
        <v/>
      </c>
      <c r="W126" s="229" t="str">
        <f t="shared" si="38"/>
        <v/>
      </c>
      <c r="X126" s="97" t="str">
        <f t="shared" si="39"/>
        <v/>
      </c>
    </row>
    <row r="127" spans="1:24" x14ac:dyDescent="0.2">
      <c r="A127" s="80">
        <f t="shared" si="20"/>
        <v>114</v>
      </c>
      <c r="B127" s="80"/>
      <c r="C127" s="229" t="str">
        <f t="shared" si="21"/>
        <v/>
      </c>
      <c r="D127" s="229" t="str">
        <f t="shared" si="22"/>
        <v/>
      </c>
      <c r="E127" s="229" t="str">
        <f t="shared" si="23"/>
        <v/>
      </c>
      <c r="F127" s="97" t="str">
        <f t="shared" si="24"/>
        <v/>
      </c>
      <c r="G127" s="80">
        <f t="shared" si="25"/>
        <v>114</v>
      </c>
      <c r="H127" s="80"/>
      <c r="I127" s="229" t="str">
        <f t="shared" si="26"/>
        <v/>
      </c>
      <c r="J127" s="229" t="str">
        <f t="shared" si="27"/>
        <v/>
      </c>
      <c r="K127" s="229" t="str">
        <f t="shared" si="28"/>
        <v/>
      </c>
      <c r="L127" s="97" t="str">
        <f t="shared" si="29"/>
        <v/>
      </c>
      <c r="M127" s="80">
        <f t="shared" si="30"/>
        <v>114</v>
      </c>
      <c r="N127" s="80"/>
      <c r="O127" s="229" t="str">
        <f t="shared" si="31"/>
        <v/>
      </c>
      <c r="P127" s="229" t="str">
        <f t="shared" si="32"/>
        <v/>
      </c>
      <c r="Q127" s="229" t="str">
        <f t="shared" si="33"/>
        <v/>
      </c>
      <c r="R127" s="97" t="str">
        <f t="shared" si="34"/>
        <v/>
      </c>
      <c r="S127" s="80">
        <f t="shared" si="35"/>
        <v>114</v>
      </c>
      <c r="T127" s="80"/>
      <c r="U127" s="229" t="str">
        <f t="shared" si="36"/>
        <v/>
      </c>
      <c r="V127" s="229" t="str">
        <f t="shared" si="37"/>
        <v/>
      </c>
      <c r="W127" s="229" t="str">
        <f t="shared" si="38"/>
        <v/>
      </c>
      <c r="X127" s="97" t="str">
        <f t="shared" si="39"/>
        <v/>
      </c>
    </row>
    <row r="128" spans="1:24" x14ac:dyDescent="0.2">
      <c r="A128" s="80">
        <f t="shared" si="20"/>
        <v>115</v>
      </c>
      <c r="B128" s="80"/>
      <c r="C128" s="229" t="str">
        <f t="shared" si="21"/>
        <v/>
      </c>
      <c r="D128" s="229" t="str">
        <f t="shared" si="22"/>
        <v/>
      </c>
      <c r="E128" s="229" t="str">
        <f t="shared" si="23"/>
        <v/>
      </c>
      <c r="F128" s="97" t="str">
        <f t="shared" si="24"/>
        <v/>
      </c>
      <c r="G128" s="80">
        <f t="shared" si="25"/>
        <v>115</v>
      </c>
      <c r="H128" s="80"/>
      <c r="I128" s="229" t="str">
        <f t="shared" si="26"/>
        <v/>
      </c>
      <c r="J128" s="229" t="str">
        <f t="shared" si="27"/>
        <v/>
      </c>
      <c r="K128" s="229" t="str">
        <f t="shared" si="28"/>
        <v/>
      </c>
      <c r="L128" s="97" t="str">
        <f t="shared" si="29"/>
        <v/>
      </c>
      <c r="M128" s="80">
        <f t="shared" si="30"/>
        <v>115</v>
      </c>
      <c r="N128" s="80"/>
      <c r="O128" s="229" t="str">
        <f t="shared" si="31"/>
        <v/>
      </c>
      <c r="P128" s="229" t="str">
        <f t="shared" si="32"/>
        <v/>
      </c>
      <c r="Q128" s="229" t="str">
        <f t="shared" si="33"/>
        <v/>
      </c>
      <c r="R128" s="97" t="str">
        <f t="shared" si="34"/>
        <v/>
      </c>
      <c r="S128" s="80">
        <f t="shared" si="35"/>
        <v>115</v>
      </c>
      <c r="T128" s="80"/>
      <c r="U128" s="229" t="str">
        <f t="shared" si="36"/>
        <v/>
      </c>
      <c r="V128" s="229" t="str">
        <f t="shared" si="37"/>
        <v/>
      </c>
      <c r="W128" s="229" t="str">
        <f t="shared" si="38"/>
        <v/>
      </c>
      <c r="X128" s="97" t="str">
        <f t="shared" si="39"/>
        <v/>
      </c>
    </row>
    <row r="129" spans="1:24" x14ac:dyDescent="0.2">
      <c r="A129" s="80">
        <f t="shared" si="20"/>
        <v>116</v>
      </c>
      <c r="B129" s="80"/>
      <c r="C129" s="229" t="str">
        <f t="shared" si="21"/>
        <v/>
      </c>
      <c r="D129" s="229" t="str">
        <f t="shared" si="22"/>
        <v/>
      </c>
      <c r="E129" s="229" t="str">
        <f t="shared" si="23"/>
        <v/>
      </c>
      <c r="F129" s="97" t="str">
        <f t="shared" si="24"/>
        <v/>
      </c>
      <c r="G129" s="80">
        <f t="shared" si="25"/>
        <v>116</v>
      </c>
      <c r="H129" s="80"/>
      <c r="I129" s="229" t="str">
        <f t="shared" si="26"/>
        <v/>
      </c>
      <c r="J129" s="229" t="str">
        <f t="shared" si="27"/>
        <v/>
      </c>
      <c r="K129" s="229" t="str">
        <f t="shared" si="28"/>
        <v/>
      </c>
      <c r="L129" s="97" t="str">
        <f t="shared" si="29"/>
        <v/>
      </c>
      <c r="M129" s="80">
        <f t="shared" si="30"/>
        <v>116</v>
      </c>
      <c r="N129" s="80"/>
      <c r="O129" s="229" t="str">
        <f t="shared" si="31"/>
        <v/>
      </c>
      <c r="P129" s="229" t="str">
        <f t="shared" si="32"/>
        <v/>
      </c>
      <c r="Q129" s="229" t="str">
        <f t="shared" si="33"/>
        <v/>
      </c>
      <c r="R129" s="97" t="str">
        <f t="shared" si="34"/>
        <v/>
      </c>
      <c r="S129" s="80">
        <f t="shared" si="35"/>
        <v>116</v>
      </c>
      <c r="T129" s="80"/>
      <c r="U129" s="229" t="str">
        <f t="shared" si="36"/>
        <v/>
      </c>
      <c r="V129" s="229" t="str">
        <f t="shared" si="37"/>
        <v/>
      </c>
      <c r="W129" s="229" t="str">
        <f t="shared" si="38"/>
        <v/>
      </c>
      <c r="X129" s="97" t="str">
        <f t="shared" si="39"/>
        <v/>
      </c>
    </row>
    <row r="130" spans="1:24" x14ac:dyDescent="0.2">
      <c r="A130" s="80">
        <f t="shared" si="20"/>
        <v>117</v>
      </c>
      <c r="B130" s="80"/>
      <c r="C130" s="229" t="str">
        <f t="shared" si="21"/>
        <v/>
      </c>
      <c r="D130" s="229" t="str">
        <f t="shared" si="22"/>
        <v/>
      </c>
      <c r="E130" s="229" t="str">
        <f t="shared" si="23"/>
        <v/>
      </c>
      <c r="F130" s="97" t="str">
        <f t="shared" si="24"/>
        <v/>
      </c>
      <c r="G130" s="80">
        <f t="shared" si="25"/>
        <v>117</v>
      </c>
      <c r="H130" s="80"/>
      <c r="I130" s="229" t="str">
        <f t="shared" si="26"/>
        <v/>
      </c>
      <c r="J130" s="229" t="str">
        <f t="shared" si="27"/>
        <v/>
      </c>
      <c r="K130" s="229" t="str">
        <f t="shared" si="28"/>
        <v/>
      </c>
      <c r="L130" s="97" t="str">
        <f t="shared" si="29"/>
        <v/>
      </c>
      <c r="M130" s="80">
        <f t="shared" si="30"/>
        <v>117</v>
      </c>
      <c r="N130" s="80"/>
      <c r="O130" s="229" t="str">
        <f t="shared" si="31"/>
        <v/>
      </c>
      <c r="P130" s="229" t="str">
        <f t="shared" si="32"/>
        <v/>
      </c>
      <c r="Q130" s="229" t="str">
        <f t="shared" si="33"/>
        <v/>
      </c>
      <c r="R130" s="97" t="str">
        <f t="shared" si="34"/>
        <v/>
      </c>
      <c r="S130" s="80">
        <f t="shared" si="35"/>
        <v>117</v>
      </c>
      <c r="T130" s="80"/>
      <c r="U130" s="229" t="str">
        <f t="shared" si="36"/>
        <v/>
      </c>
      <c r="V130" s="229" t="str">
        <f t="shared" si="37"/>
        <v/>
      </c>
      <c r="W130" s="229" t="str">
        <f t="shared" si="38"/>
        <v/>
      </c>
      <c r="X130" s="97" t="str">
        <f t="shared" si="39"/>
        <v/>
      </c>
    </row>
    <row r="131" spans="1:24" x14ac:dyDescent="0.2">
      <c r="A131" s="80">
        <f t="shared" si="20"/>
        <v>118</v>
      </c>
      <c r="B131" s="80"/>
      <c r="C131" s="229" t="str">
        <f t="shared" si="21"/>
        <v/>
      </c>
      <c r="D131" s="229" t="str">
        <f t="shared" si="22"/>
        <v/>
      </c>
      <c r="E131" s="229" t="str">
        <f t="shared" si="23"/>
        <v/>
      </c>
      <c r="F131" s="97" t="str">
        <f t="shared" si="24"/>
        <v/>
      </c>
      <c r="G131" s="80">
        <f t="shared" si="25"/>
        <v>118</v>
      </c>
      <c r="H131" s="80"/>
      <c r="I131" s="229" t="str">
        <f t="shared" si="26"/>
        <v/>
      </c>
      <c r="J131" s="229" t="str">
        <f t="shared" si="27"/>
        <v/>
      </c>
      <c r="K131" s="229" t="str">
        <f t="shared" si="28"/>
        <v/>
      </c>
      <c r="L131" s="97" t="str">
        <f t="shared" si="29"/>
        <v/>
      </c>
      <c r="M131" s="80">
        <f t="shared" si="30"/>
        <v>118</v>
      </c>
      <c r="N131" s="80"/>
      <c r="O131" s="229" t="str">
        <f t="shared" si="31"/>
        <v/>
      </c>
      <c r="P131" s="229" t="str">
        <f t="shared" si="32"/>
        <v/>
      </c>
      <c r="Q131" s="229" t="str">
        <f t="shared" si="33"/>
        <v/>
      </c>
      <c r="R131" s="97" t="str">
        <f t="shared" si="34"/>
        <v/>
      </c>
      <c r="S131" s="80">
        <f t="shared" si="35"/>
        <v>118</v>
      </c>
      <c r="T131" s="80"/>
      <c r="U131" s="229" t="str">
        <f t="shared" si="36"/>
        <v/>
      </c>
      <c r="V131" s="229" t="str">
        <f t="shared" si="37"/>
        <v/>
      </c>
      <c r="W131" s="229" t="str">
        <f t="shared" si="38"/>
        <v/>
      </c>
      <c r="X131" s="97" t="str">
        <f t="shared" si="39"/>
        <v/>
      </c>
    </row>
    <row r="132" spans="1:24" x14ac:dyDescent="0.2">
      <c r="A132" s="80">
        <f t="shared" si="20"/>
        <v>119</v>
      </c>
      <c r="B132" s="80"/>
      <c r="C132" s="229" t="str">
        <f t="shared" si="21"/>
        <v/>
      </c>
      <c r="D132" s="229" t="str">
        <f t="shared" si="22"/>
        <v/>
      </c>
      <c r="E132" s="229" t="str">
        <f t="shared" si="23"/>
        <v/>
      </c>
      <c r="F132" s="97" t="str">
        <f t="shared" si="24"/>
        <v/>
      </c>
      <c r="G132" s="80">
        <f t="shared" si="25"/>
        <v>119</v>
      </c>
      <c r="H132" s="80"/>
      <c r="I132" s="229" t="str">
        <f t="shared" si="26"/>
        <v/>
      </c>
      <c r="J132" s="229" t="str">
        <f t="shared" si="27"/>
        <v/>
      </c>
      <c r="K132" s="229" t="str">
        <f t="shared" si="28"/>
        <v/>
      </c>
      <c r="L132" s="97" t="str">
        <f t="shared" si="29"/>
        <v/>
      </c>
      <c r="M132" s="80">
        <f t="shared" si="30"/>
        <v>119</v>
      </c>
      <c r="N132" s="80"/>
      <c r="O132" s="229" t="str">
        <f t="shared" si="31"/>
        <v/>
      </c>
      <c r="P132" s="229" t="str">
        <f t="shared" si="32"/>
        <v/>
      </c>
      <c r="Q132" s="229" t="str">
        <f t="shared" si="33"/>
        <v/>
      </c>
      <c r="R132" s="97" t="str">
        <f t="shared" si="34"/>
        <v/>
      </c>
      <c r="S132" s="80">
        <f t="shared" si="35"/>
        <v>119</v>
      </c>
      <c r="T132" s="80"/>
      <c r="U132" s="229" t="str">
        <f t="shared" si="36"/>
        <v/>
      </c>
      <c r="V132" s="229" t="str">
        <f t="shared" si="37"/>
        <v/>
      </c>
      <c r="W132" s="229" t="str">
        <f t="shared" si="38"/>
        <v/>
      </c>
      <c r="X132" s="97" t="str">
        <f t="shared" si="39"/>
        <v/>
      </c>
    </row>
    <row r="133" spans="1:24" x14ac:dyDescent="0.2">
      <c r="A133" s="80">
        <f t="shared" si="20"/>
        <v>120</v>
      </c>
      <c r="B133" s="80"/>
      <c r="C133" s="229" t="str">
        <f t="shared" si="21"/>
        <v/>
      </c>
      <c r="D133" s="229" t="str">
        <f t="shared" si="22"/>
        <v/>
      </c>
      <c r="E133" s="229" t="str">
        <f t="shared" si="23"/>
        <v/>
      </c>
      <c r="F133" s="97" t="str">
        <f t="shared" si="24"/>
        <v/>
      </c>
      <c r="G133" s="80">
        <f t="shared" si="25"/>
        <v>120</v>
      </c>
      <c r="H133" s="80"/>
      <c r="I133" s="229" t="str">
        <f t="shared" si="26"/>
        <v/>
      </c>
      <c r="J133" s="229" t="str">
        <f t="shared" si="27"/>
        <v/>
      </c>
      <c r="K133" s="229" t="str">
        <f t="shared" si="28"/>
        <v/>
      </c>
      <c r="L133" s="97" t="str">
        <f t="shared" si="29"/>
        <v/>
      </c>
      <c r="M133" s="80">
        <f t="shared" si="30"/>
        <v>120</v>
      </c>
      <c r="N133" s="80"/>
      <c r="O133" s="229" t="str">
        <f t="shared" si="31"/>
        <v/>
      </c>
      <c r="P133" s="229" t="str">
        <f t="shared" si="32"/>
        <v/>
      </c>
      <c r="Q133" s="229" t="str">
        <f t="shared" si="33"/>
        <v/>
      </c>
      <c r="R133" s="97" t="str">
        <f t="shared" si="34"/>
        <v/>
      </c>
      <c r="S133" s="80">
        <f t="shared" si="35"/>
        <v>120</v>
      </c>
      <c r="T133" s="80"/>
      <c r="U133" s="229" t="str">
        <f t="shared" si="36"/>
        <v/>
      </c>
      <c r="V133" s="229" t="str">
        <f t="shared" si="37"/>
        <v/>
      </c>
      <c r="W133" s="229" t="str">
        <f t="shared" si="38"/>
        <v/>
      </c>
      <c r="X133" s="97" t="str">
        <f t="shared" si="39"/>
        <v/>
      </c>
    </row>
    <row r="134" spans="1:24" x14ac:dyDescent="0.2">
      <c r="A134" s="80">
        <f t="shared" si="20"/>
        <v>121</v>
      </c>
      <c r="B134" s="80"/>
      <c r="C134" s="229" t="str">
        <f t="shared" si="21"/>
        <v/>
      </c>
      <c r="D134" s="229" t="str">
        <f t="shared" si="22"/>
        <v/>
      </c>
      <c r="E134" s="229" t="str">
        <f t="shared" si="23"/>
        <v/>
      </c>
      <c r="F134" s="97" t="str">
        <f t="shared" si="24"/>
        <v/>
      </c>
      <c r="G134" s="80">
        <f t="shared" si="25"/>
        <v>121</v>
      </c>
      <c r="H134" s="80"/>
      <c r="I134" s="229" t="str">
        <f t="shared" si="26"/>
        <v/>
      </c>
      <c r="J134" s="229" t="str">
        <f t="shared" si="27"/>
        <v/>
      </c>
      <c r="K134" s="229" t="str">
        <f t="shared" si="28"/>
        <v/>
      </c>
      <c r="L134" s="97" t="str">
        <f t="shared" si="29"/>
        <v/>
      </c>
      <c r="M134" s="80">
        <f t="shared" si="30"/>
        <v>121</v>
      </c>
      <c r="N134" s="80"/>
      <c r="O134" s="229" t="str">
        <f t="shared" si="31"/>
        <v/>
      </c>
      <c r="P134" s="229" t="str">
        <f t="shared" si="32"/>
        <v/>
      </c>
      <c r="Q134" s="229" t="str">
        <f t="shared" si="33"/>
        <v/>
      </c>
      <c r="R134" s="97" t="str">
        <f t="shared" si="34"/>
        <v/>
      </c>
      <c r="S134" s="80">
        <f t="shared" si="35"/>
        <v>121</v>
      </c>
      <c r="T134" s="80"/>
      <c r="U134" s="229" t="str">
        <f t="shared" si="36"/>
        <v/>
      </c>
      <c r="V134" s="229" t="str">
        <f t="shared" si="37"/>
        <v/>
      </c>
      <c r="W134" s="229" t="str">
        <f t="shared" si="38"/>
        <v/>
      </c>
      <c r="X134" s="97" t="str">
        <f t="shared" si="39"/>
        <v/>
      </c>
    </row>
    <row r="135" spans="1:24" x14ac:dyDescent="0.2">
      <c r="A135" s="80">
        <f t="shared" si="20"/>
        <v>122</v>
      </c>
      <c r="B135" s="80"/>
      <c r="C135" s="229" t="str">
        <f t="shared" si="21"/>
        <v/>
      </c>
      <c r="D135" s="229" t="str">
        <f t="shared" si="22"/>
        <v/>
      </c>
      <c r="E135" s="229" t="str">
        <f t="shared" si="23"/>
        <v/>
      </c>
      <c r="F135" s="97" t="str">
        <f t="shared" si="24"/>
        <v/>
      </c>
      <c r="G135" s="80">
        <f t="shared" si="25"/>
        <v>122</v>
      </c>
      <c r="H135" s="80"/>
      <c r="I135" s="229" t="str">
        <f t="shared" si="26"/>
        <v/>
      </c>
      <c r="J135" s="229" t="str">
        <f t="shared" si="27"/>
        <v/>
      </c>
      <c r="K135" s="229" t="str">
        <f t="shared" si="28"/>
        <v/>
      </c>
      <c r="L135" s="97" t="str">
        <f t="shared" si="29"/>
        <v/>
      </c>
      <c r="M135" s="80">
        <f t="shared" si="30"/>
        <v>122</v>
      </c>
      <c r="N135" s="80"/>
      <c r="O135" s="229" t="str">
        <f t="shared" si="31"/>
        <v/>
      </c>
      <c r="P135" s="229" t="str">
        <f t="shared" si="32"/>
        <v/>
      </c>
      <c r="Q135" s="229" t="str">
        <f t="shared" si="33"/>
        <v/>
      </c>
      <c r="R135" s="97" t="str">
        <f t="shared" si="34"/>
        <v/>
      </c>
      <c r="S135" s="80">
        <f t="shared" si="35"/>
        <v>122</v>
      </c>
      <c r="T135" s="80"/>
      <c r="U135" s="229" t="str">
        <f t="shared" si="36"/>
        <v/>
      </c>
      <c r="V135" s="229" t="str">
        <f t="shared" si="37"/>
        <v/>
      </c>
      <c r="W135" s="229" t="str">
        <f t="shared" si="38"/>
        <v/>
      </c>
      <c r="X135" s="97" t="str">
        <f t="shared" si="39"/>
        <v/>
      </c>
    </row>
    <row r="136" spans="1:24" x14ac:dyDescent="0.2">
      <c r="A136" s="80">
        <f t="shared" si="20"/>
        <v>123</v>
      </c>
      <c r="B136" s="80"/>
      <c r="C136" s="229" t="str">
        <f t="shared" si="21"/>
        <v/>
      </c>
      <c r="D136" s="229" t="str">
        <f t="shared" si="22"/>
        <v/>
      </c>
      <c r="E136" s="229" t="str">
        <f t="shared" si="23"/>
        <v/>
      </c>
      <c r="F136" s="97" t="str">
        <f t="shared" si="24"/>
        <v/>
      </c>
      <c r="G136" s="80">
        <f t="shared" si="25"/>
        <v>123</v>
      </c>
      <c r="H136" s="80"/>
      <c r="I136" s="229" t="str">
        <f t="shared" si="26"/>
        <v/>
      </c>
      <c r="J136" s="229" t="str">
        <f t="shared" si="27"/>
        <v/>
      </c>
      <c r="K136" s="229" t="str">
        <f t="shared" si="28"/>
        <v/>
      </c>
      <c r="L136" s="97" t="str">
        <f t="shared" si="29"/>
        <v/>
      </c>
      <c r="M136" s="80">
        <f t="shared" si="30"/>
        <v>123</v>
      </c>
      <c r="N136" s="80"/>
      <c r="O136" s="229" t="str">
        <f t="shared" si="31"/>
        <v/>
      </c>
      <c r="P136" s="229" t="str">
        <f t="shared" si="32"/>
        <v/>
      </c>
      <c r="Q136" s="229" t="str">
        <f t="shared" si="33"/>
        <v/>
      </c>
      <c r="R136" s="97" t="str">
        <f t="shared" si="34"/>
        <v/>
      </c>
      <c r="S136" s="80">
        <f t="shared" si="35"/>
        <v>123</v>
      </c>
      <c r="T136" s="80"/>
      <c r="U136" s="229" t="str">
        <f t="shared" si="36"/>
        <v/>
      </c>
      <c r="V136" s="229" t="str">
        <f t="shared" si="37"/>
        <v/>
      </c>
      <c r="W136" s="229" t="str">
        <f t="shared" si="38"/>
        <v/>
      </c>
      <c r="X136" s="97" t="str">
        <f t="shared" si="39"/>
        <v/>
      </c>
    </row>
    <row r="137" spans="1:24" x14ac:dyDescent="0.2">
      <c r="A137" s="80">
        <f t="shared" si="20"/>
        <v>124</v>
      </c>
      <c r="B137" s="80"/>
      <c r="C137" s="229" t="str">
        <f t="shared" si="21"/>
        <v/>
      </c>
      <c r="D137" s="229" t="str">
        <f t="shared" si="22"/>
        <v/>
      </c>
      <c r="E137" s="229" t="str">
        <f t="shared" si="23"/>
        <v/>
      </c>
      <c r="F137" s="97" t="str">
        <f t="shared" si="24"/>
        <v/>
      </c>
      <c r="G137" s="80">
        <f t="shared" si="25"/>
        <v>124</v>
      </c>
      <c r="H137" s="80"/>
      <c r="I137" s="229" t="str">
        <f t="shared" si="26"/>
        <v/>
      </c>
      <c r="J137" s="229" t="str">
        <f t="shared" si="27"/>
        <v/>
      </c>
      <c r="K137" s="229" t="str">
        <f t="shared" si="28"/>
        <v/>
      </c>
      <c r="L137" s="97" t="str">
        <f t="shared" si="29"/>
        <v/>
      </c>
      <c r="M137" s="80">
        <f t="shared" si="30"/>
        <v>124</v>
      </c>
      <c r="N137" s="80"/>
      <c r="O137" s="229" t="str">
        <f t="shared" si="31"/>
        <v/>
      </c>
      <c r="P137" s="229" t="str">
        <f t="shared" si="32"/>
        <v/>
      </c>
      <c r="Q137" s="229" t="str">
        <f t="shared" si="33"/>
        <v/>
      </c>
      <c r="R137" s="97" t="str">
        <f t="shared" si="34"/>
        <v/>
      </c>
      <c r="S137" s="80">
        <f t="shared" si="35"/>
        <v>124</v>
      </c>
      <c r="T137" s="80"/>
      <c r="U137" s="229" t="str">
        <f t="shared" si="36"/>
        <v/>
      </c>
      <c r="V137" s="229" t="str">
        <f t="shared" si="37"/>
        <v/>
      </c>
      <c r="W137" s="229" t="str">
        <f t="shared" si="38"/>
        <v/>
      </c>
      <c r="X137" s="97" t="str">
        <f t="shared" si="39"/>
        <v/>
      </c>
    </row>
    <row r="138" spans="1:24" x14ac:dyDescent="0.2">
      <c r="A138" s="80">
        <f t="shared" si="20"/>
        <v>125</v>
      </c>
      <c r="B138" s="80"/>
      <c r="C138" s="229" t="str">
        <f t="shared" si="21"/>
        <v/>
      </c>
      <c r="D138" s="229" t="str">
        <f t="shared" si="22"/>
        <v/>
      </c>
      <c r="E138" s="229" t="str">
        <f t="shared" si="23"/>
        <v/>
      </c>
      <c r="F138" s="97" t="str">
        <f t="shared" si="24"/>
        <v/>
      </c>
      <c r="G138" s="80">
        <f t="shared" si="25"/>
        <v>125</v>
      </c>
      <c r="H138" s="80"/>
      <c r="I138" s="229" t="str">
        <f t="shared" si="26"/>
        <v/>
      </c>
      <c r="J138" s="229" t="str">
        <f t="shared" si="27"/>
        <v/>
      </c>
      <c r="K138" s="229" t="str">
        <f t="shared" si="28"/>
        <v/>
      </c>
      <c r="L138" s="97" t="str">
        <f t="shared" si="29"/>
        <v/>
      </c>
      <c r="M138" s="80">
        <f t="shared" si="30"/>
        <v>125</v>
      </c>
      <c r="N138" s="80"/>
      <c r="O138" s="229" t="str">
        <f t="shared" si="31"/>
        <v/>
      </c>
      <c r="P138" s="229" t="str">
        <f t="shared" si="32"/>
        <v/>
      </c>
      <c r="Q138" s="229" t="str">
        <f t="shared" si="33"/>
        <v/>
      </c>
      <c r="R138" s="97" t="str">
        <f t="shared" si="34"/>
        <v/>
      </c>
      <c r="S138" s="80">
        <f t="shared" si="35"/>
        <v>125</v>
      </c>
      <c r="T138" s="80"/>
      <c r="U138" s="229" t="str">
        <f t="shared" si="36"/>
        <v/>
      </c>
      <c r="V138" s="229" t="str">
        <f t="shared" si="37"/>
        <v/>
      </c>
      <c r="W138" s="229" t="str">
        <f t="shared" si="38"/>
        <v/>
      </c>
      <c r="X138" s="97" t="str">
        <f t="shared" si="39"/>
        <v/>
      </c>
    </row>
    <row r="139" spans="1:24" x14ac:dyDescent="0.2">
      <c r="A139" s="80">
        <f t="shared" si="20"/>
        <v>126</v>
      </c>
      <c r="B139" s="80"/>
      <c r="C139" s="229" t="str">
        <f t="shared" si="21"/>
        <v/>
      </c>
      <c r="D139" s="229" t="str">
        <f t="shared" si="22"/>
        <v/>
      </c>
      <c r="E139" s="229" t="str">
        <f t="shared" si="23"/>
        <v/>
      </c>
      <c r="F139" s="97" t="str">
        <f t="shared" si="24"/>
        <v/>
      </c>
      <c r="G139" s="80">
        <f t="shared" si="25"/>
        <v>126</v>
      </c>
      <c r="H139" s="80"/>
      <c r="I139" s="229" t="str">
        <f t="shared" si="26"/>
        <v/>
      </c>
      <c r="J139" s="229" t="str">
        <f t="shared" si="27"/>
        <v/>
      </c>
      <c r="K139" s="229" t="str">
        <f t="shared" si="28"/>
        <v/>
      </c>
      <c r="L139" s="97" t="str">
        <f t="shared" si="29"/>
        <v/>
      </c>
      <c r="M139" s="80">
        <f t="shared" si="30"/>
        <v>126</v>
      </c>
      <c r="N139" s="80"/>
      <c r="O139" s="229" t="str">
        <f t="shared" si="31"/>
        <v/>
      </c>
      <c r="P139" s="229" t="str">
        <f t="shared" si="32"/>
        <v/>
      </c>
      <c r="Q139" s="229" t="str">
        <f t="shared" si="33"/>
        <v/>
      </c>
      <c r="R139" s="97" t="str">
        <f t="shared" si="34"/>
        <v/>
      </c>
      <c r="S139" s="80">
        <f t="shared" si="35"/>
        <v>126</v>
      </c>
      <c r="T139" s="80"/>
      <c r="U139" s="229" t="str">
        <f t="shared" si="36"/>
        <v/>
      </c>
      <c r="V139" s="229" t="str">
        <f t="shared" si="37"/>
        <v/>
      </c>
      <c r="W139" s="229" t="str">
        <f t="shared" si="38"/>
        <v/>
      </c>
      <c r="X139" s="97" t="str">
        <f t="shared" si="39"/>
        <v/>
      </c>
    </row>
    <row r="140" spans="1:24" x14ac:dyDescent="0.2">
      <c r="A140" s="80">
        <f t="shared" si="20"/>
        <v>127</v>
      </c>
      <c r="B140" s="80"/>
      <c r="C140" s="229" t="str">
        <f t="shared" si="21"/>
        <v/>
      </c>
      <c r="D140" s="229" t="str">
        <f t="shared" si="22"/>
        <v/>
      </c>
      <c r="E140" s="229" t="str">
        <f t="shared" si="23"/>
        <v/>
      </c>
      <c r="F140" s="97" t="str">
        <f t="shared" si="24"/>
        <v/>
      </c>
      <c r="G140" s="80">
        <f t="shared" si="25"/>
        <v>127</v>
      </c>
      <c r="H140" s="80"/>
      <c r="I140" s="229" t="str">
        <f t="shared" si="26"/>
        <v/>
      </c>
      <c r="J140" s="229" t="str">
        <f t="shared" si="27"/>
        <v/>
      </c>
      <c r="K140" s="229" t="str">
        <f t="shared" si="28"/>
        <v/>
      </c>
      <c r="L140" s="97" t="str">
        <f t="shared" si="29"/>
        <v/>
      </c>
      <c r="M140" s="80">
        <f t="shared" si="30"/>
        <v>127</v>
      </c>
      <c r="N140" s="80"/>
      <c r="O140" s="229" t="str">
        <f t="shared" si="31"/>
        <v/>
      </c>
      <c r="P140" s="229" t="str">
        <f t="shared" si="32"/>
        <v/>
      </c>
      <c r="Q140" s="229" t="str">
        <f t="shared" si="33"/>
        <v/>
      </c>
      <c r="R140" s="97" t="str">
        <f t="shared" si="34"/>
        <v/>
      </c>
      <c r="S140" s="80">
        <f t="shared" si="35"/>
        <v>127</v>
      </c>
      <c r="T140" s="80"/>
      <c r="U140" s="229" t="str">
        <f t="shared" si="36"/>
        <v/>
      </c>
      <c r="V140" s="229" t="str">
        <f t="shared" si="37"/>
        <v/>
      </c>
      <c r="W140" s="229" t="str">
        <f t="shared" si="38"/>
        <v/>
      </c>
      <c r="X140" s="97" t="str">
        <f t="shared" si="39"/>
        <v/>
      </c>
    </row>
    <row r="141" spans="1:24" x14ac:dyDescent="0.2">
      <c r="A141" s="80">
        <f t="shared" si="20"/>
        <v>128</v>
      </c>
      <c r="B141" s="80"/>
      <c r="C141" s="229" t="str">
        <f t="shared" si="21"/>
        <v/>
      </c>
      <c r="D141" s="229" t="str">
        <f t="shared" si="22"/>
        <v/>
      </c>
      <c r="E141" s="229" t="str">
        <f t="shared" si="23"/>
        <v/>
      </c>
      <c r="F141" s="97" t="str">
        <f t="shared" si="24"/>
        <v/>
      </c>
      <c r="G141" s="80">
        <f t="shared" si="25"/>
        <v>128</v>
      </c>
      <c r="H141" s="80"/>
      <c r="I141" s="229" t="str">
        <f t="shared" si="26"/>
        <v/>
      </c>
      <c r="J141" s="229" t="str">
        <f t="shared" si="27"/>
        <v/>
      </c>
      <c r="K141" s="229" t="str">
        <f t="shared" si="28"/>
        <v/>
      </c>
      <c r="L141" s="97" t="str">
        <f t="shared" si="29"/>
        <v/>
      </c>
      <c r="M141" s="80">
        <f t="shared" si="30"/>
        <v>128</v>
      </c>
      <c r="N141" s="80"/>
      <c r="O141" s="229" t="str">
        <f t="shared" si="31"/>
        <v/>
      </c>
      <c r="P141" s="229" t="str">
        <f t="shared" si="32"/>
        <v/>
      </c>
      <c r="Q141" s="229" t="str">
        <f t="shared" si="33"/>
        <v/>
      </c>
      <c r="R141" s="97" t="str">
        <f t="shared" si="34"/>
        <v/>
      </c>
      <c r="S141" s="80">
        <f t="shared" si="35"/>
        <v>128</v>
      </c>
      <c r="T141" s="80"/>
      <c r="U141" s="229" t="str">
        <f t="shared" si="36"/>
        <v/>
      </c>
      <c r="V141" s="229" t="str">
        <f t="shared" si="37"/>
        <v/>
      </c>
      <c r="W141" s="229" t="str">
        <f t="shared" si="38"/>
        <v/>
      </c>
      <c r="X141" s="97" t="str">
        <f t="shared" si="39"/>
        <v/>
      </c>
    </row>
    <row r="142" spans="1:24" x14ac:dyDescent="0.2">
      <c r="A142" s="80">
        <f t="shared" si="20"/>
        <v>129</v>
      </c>
      <c r="B142" s="80"/>
      <c r="C142" s="229" t="str">
        <f t="shared" si="21"/>
        <v/>
      </c>
      <c r="D142" s="229" t="str">
        <f t="shared" si="22"/>
        <v/>
      </c>
      <c r="E142" s="229" t="str">
        <f t="shared" si="23"/>
        <v/>
      </c>
      <c r="F142" s="97" t="str">
        <f t="shared" si="24"/>
        <v/>
      </c>
      <c r="G142" s="80">
        <f t="shared" si="25"/>
        <v>129</v>
      </c>
      <c r="H142" s="80"/>
      <c r="I142" s="229" t="str">
        <f t="shared" si="26"/>
        <v/>
      </c>
      <c r="J142" s="229" t="str">
        <f t="shared" si="27"/>
        <v/>
      </c>
      <c r="K142" s="229" t="str">
        <f t="shared" si="28"/>
        <v/>
      </c>
      <c r="L142" s="97" t="str">
        <f t="shared" si="29"/>
        <v/>
      </c>
      <c r="M142" s="80">
        <f t="shared" si="30"/>
        <v>129</v>
      </c>
      <c r="N142" s="80"/>
      <c r="O142" s="229" t="str">
        <f t="shared" si="31"/>
        <v/>
      </c>
      <c r="P142" s="229" t="str">
        <f t="shared" si="32"/>
        <v/>
      </c>
      <c r="Q142" s="229" t="str">
        <f t="shared" si="33"/>
        <v/>
      </c>
      <c r="R142" s="97" t="str">
        <f t="shared" si="34"/>
        <v/>
      </c>
      <c r="S142" s="80">
        <f t="shared" si="35"/>
        <v>129</v>
      </c>
      <c r="T142" s="80"/>
      <c r="U142" s="229" t="str">
        <f t="shared" si="36"/>
        <v/>
      </c>
      <c r="V142" s="229" t="str">
        <f t="shared" si="37"/>
        <v/>
      </c>
      <c r="W142" s="229" t="str">
        <f t="shared" si="38"/>
        <v/>
      </c>
      <c r="X142" s="97" t="str">
        <f t="shared" si="39"/>
        <v/>
      </c>
    </row>
    <row r="143" spans="1:24" x14ac:dyDescent="0.2">
      <c r="A143" s="80">
        <f t="shared" ref="A143:A206" si="40">IF(A142&lt;D$8*12,A142+1,"")</f>
        <v>130</v>
      </c>
      <c r="B143" s="80"/>
      <c r="C143" s="229" t="str">
        <f t="shared" ref="C143:C206" si="41">IF(F142=0,"",IF($A143&lt;=D$8*12,C142,""))</f>
        <v/>
      </c>
      <c r="D143" s="229" t="str">
        <f t="shared" ref="D143:D206" si="42">IF(C143="","",C143-E143)</f>
        <v/>
      </c>
      <c r="E143" s="229" t="str">
        <f t="shared" ref="E143:E206" si="43">IF(C143="","",F142*D$7/12)</f>
        <v/>
      </c>
      <c r="F143" s="97" t="str">
        <f t="shared" ref="F143:F206" si="44">IF(D$6=0,"",IF($A143&gt;D$8*12,"",D$6+CUMPRINC(D$7/12,D$8*12,D$6,1,$A143,0)))</f>
        <v/>
      </c>
      <c r="G143" s="80">
        <f t="shared" ref="G143:G206" si="45">IF(G142&lt;J$8*12,G142+1,"")</f>
        <v>130</v>
      </c>
      <c r="H143" s="80"/>
      <c r="I143" s="229" t="str">
        <f t="shared" ref="I143:I206" si="46">IF(L142=0,"",IF($A143&lt;=J$8*12,I142,""))</f>
        <v/>
      </c>
      <c r="J143" s="229" t="str">
        <f t="shared" ref="J143:J206" si="47">IF(I143="","",I143-K143)</f>
        <v/>
      </c>
      <c r="K143" s="229" t="str">
        <f t="shared" ref="K143:K206" si="48">IF(I143="","",L142*J$7/12)</f>
        <v/>
      </c>
      <c r="L143" s="97" t="str">
        <f t="shared" ref="L143:L206" si="49">IF(J$6=0,"",IF($A143&gt;J$8*12,"",J$6+CUMPRINC(J$7/12,J$8*12,J$6,1,$A143,0)))</f>
        <v/>
      </c>
      <c r="M143" s="80">
        <f t="shared" ref="M143:M206" si="50">IF(M142&lt;P$8*12,M142+1,"")</f>
        <v>130</v>
      </c>
      <c r="N143" s="80"/>
      <c r="O143" s="229" t="str">
        <f t="shared" ref="O143:O206" si="51">IF(R142=0,"",IF($A143&lt;=P$8*12,O142,""))</f>
        <v/>
      </c>
      <c r="P143" s="229" t="str">
        <f t="shared" ref="P143:P206" si="52">IF(O143="","",O143-Q143)</f>
        <v/>
      </c>
      <c r="Q143" s="229" t="str">
        <f t="shared" ref="Q143:Q206" si="53">IF(O143="","",R142*P$7/12)</f>
        <v/>
      </c>
      <c r="R143" s="97" t="str">
        <f t="shared" ref="R143:R206" si="54">IF(P$6=0,"",IF($A143&gt;P$8*12,"",P$6+CUMPRINC(P$7/12,P$8*12,P$6,1,$A143,0)))</f>
        <v/>
      </c>
      <c r="S143" s="80">
        <f t="shared" ref="S143:S206" si="55">IF(S142&lt;V$8*12,S142+1,"")</f>
        <v>130</v>
      </c>
      <c r="T143" s="80"/>
      <c r="U143" s="229" t="str">
        <f t="shared" ref="U143:U206" si="56">IF(X142=0,"",IF($A143&lt;=V$8*12,U142,""))</f>
        <v/>
      </c>
      <c r="V143" s="229" t="str">
        <f t="shared" ref="V143:V206" si="57">IF(U143="","",U143-W143)</f>
        <v/>
      </c>
      <c r="W143" s="229" t="str">
        <f t="shared" ref="W143:W206" si="58">IF(U143="","",X142*V$7/12)</f>
        <v/>
      </c>
      <c r="X143" s="97" t="str">
        <f t="shared" ref="X143:X206" si="59">IF(V$6=0,"",IF($A143&gt;V$8*12,"",V$6+CUMPRINC(V$7/12,V$8*12,V$6,1,$A143,0)))</f>
        <v/>
      </c>
    </row>
    <row r="144" spans="1:24" x14ac:dyDescent="0.2">
      <c r="A144" s="80">
        <f t="shared" si="40"/>
        <v>131</v>
      </c>
      <c r="B144" s="80"/>
      <c r="C144" s="229" t="str">
        <f t="shared" si="41"/>
        <v/>
      </c>
      <c r="D144" s="229" t="str">
        <f t="shared" si="42"/>
        <v/>
      </c>
      <c r="E144" s="229" t="str">
        <f t="shared" si="43"/>
        <v/>
      </c>
      <c r="F144" s="97" t="str">
        <f t="shared" si="44"/>
        <v/>
      </c>
      <c r="G144" s="80">
        <f t="shared" si="45"/>
        <v>131</v>
      </c>
      <c r="H144" s="80"/>
      <c r="I144" s="229" t="str">
        <f t="shared" si="46"/>
        <v/>
      </c>
      <c r="J144" s="229" t="str">
        <f t="shared" si="47"/>
        <v/>
      </c>
      <c r="K144" s="229" t="str">
        <f t="shared" si="48"/>
        <v/>
      </c>
      <c r="L144" s="97" t="str">
        <f t="shared" si="49"/>
        <v/>
      </c>
      <c r="M144" s="80">
        <f t="shared" si="50"/>
        <v>131</v>
      </c>
      <c r="N144" s="80"/>
      <c r="O144" s="229" t="str">
        <f t="shared" si="51"/>
        <v/>
      </c>
      <c r="P144" s="229" t="str">
        <f t="shared" si="52"/>
        <v/>
      </c>
      <c r="Q144" s="229" t="str">
        <f t="shared" si="53"/>
        <v/>
      </c>
      <c r="R144" s="97" t="str">
        <f t="shared" si="54"/>
        <v/>
      </c>
      <c r="S144" s="80">
        <f t="shared" si="55"/>
        <v>131</v>
      </c>
      <c r="T144" s="80"/>
      <c r="U144" s="229" t="str">
        <f t="shared" si="56"/>
        <v/>
      </c>
      <c r="V144" s="229" t="str">
        <f t="shared" si="57"/>
        <v/>
      </c>
      <c r="W144" s="229" t="str">
        <f t="shared" si="58"/>
        <v/>
      </c>
      <c r="X144" s="97" t="str">
        <f t="shared" si="59"/>
        <v/>
      </c>
    </row>
    <row r="145" spans="1:24" x14ac:dyDescent="0.2">
      <c r="A145" s="80">
        <f t="shared" si="40"/>
        <v>132</v>
      </c>
      <c r="B145" s="80"/>
      <c r="C145" s="229" t="str">
        <f t="shared" si="41"/>
        <v/>
      </c>
      <c r="D145" s="229" t="str">
        <f t="shared" si="42"/>
        <v/>
      </c>
      <c r="E145" s="229" t="str">
        <f t="shared" si="43"/>
        <v/>
      </c>
      <c r="F145" s="97" t="str">
        <f t="shared" si="44"/>
        <v/>
      </c>
      <c r="G145" s="80">
        <f t="shared" si="45"/>
        <v>132</v>
      </c>
      <c r="H145" s="80"/>
      <c r="I145" s="229" t="str">
        <f t="shared" si="46"/>
        <v/>
      </c>
      <c r="J145" s="229" t="str">
        <f t="shared" si="47"/>
        <v/>
      </c>
      <c r="K145" s="229" t="str">
        <f t="shared" si="48"/>
        <v/>
      </c>
      <c r="L145" s="97" t="str">
        <f t="shared" si="49"/>
        <v/>
      </c>
      <c r="M145" s="80">
        <f t="shared" si="50"/>
        <v>132</v>
      </c>
      <c r="N145" s="80"/>
      <c r="O145" s="229" t="str">
        <f t="shared" si="51"/>
        <v/>
      </c>
      <c r="P145" s="229" t="str">
        <f t="shared" si="52"/>
        <v/>
      </c>
      <c r="Q145" s="229" t="str">
        <f t="shared" si="53"/>
        <v/>
      </c>
      <c r="R145" s="97" t="str">
        <f t="shared" si="54"/>
        <v/>
      </c>
      <c r="S145" s="80">
        <f t="shared" si="55"/>
        <v>132</v>
      </c>
      <c r="T145" s="80"/>
      <c r="U145" s="229" t="str">
        <f t="shared" si="56"/>
        <v/>
      </c>
      <c r="V145" s="229" t="str">
        <f t="shared" si="57"/>
        <v/>
      </c>
      <c r="W145" s="229" t="str">
        <f t="shared" si="58"/>
        <v/>
      </c>
      <c r="X145" s="97" t="str">
        <f t="shared" si="59"/>
        <v/>
      </c>
    </row>
    <row r="146" spans="1:24" x14ac:dyDescent="0.2">
      <c r="A146" s="80">
        <f t="shared" si="40"/>
        <v>133</v>
      </c>
      <c r="B146" s="80"/>
      <c r="C146" s="229" t="str">
        <f t="shared" si="41"/>
        <v/>
      </c>
      <c r="D146" s="229" t="str">
        <f t="shared" si="42"/>
        <v/>
      </c>
      <c r="E146" s="229" t="str">
        <f t="shared" si="43"/>
        <v/>
      </c>
      <c r="F146" s="97" t="str">
        <f t="shared" si="44"/>
        <v/>
      </c>
      <c r="G146" s="80">
        <f t="shared" si="45"/>
        <v>133</v>
      </c>
      <c r="H146" s="80"/>
      <c r="I146" s="229" t="str">
        <f t="shared" si="46"/>
        <v/>
      </c>
      <c r="J146" s="229" t="str">
        <f t="shared" si="47"/>
        <v/>
      </c>
      <c r="K146" s="229" t="str">
        <f t="shared" si="48"/>
        <v/>
      </c>
      <c r="L146" s="97" t="str">
        <f t="shared" si="49"/>
        <v/>
      </c>
      <c r="M146" s="80">
        <f t="shared" si="50"/>
        <v>133</v>
      </c>
      <c r="N146" s="80"/>
      <c r="O146" s="229" t="str">
        <f t="shared" si="51"/>
        <v/>
      </c>
      <c r="P146" s="229" t="str">
        <f t="shared" si="52"/>
        <v/>
      </c>
      <c r="Q146" s="229" t="str">
        <f t="shared" si="53"/>
        <v/>
      </c>
      <c r="R146" s="97" t="str">
        <f t="shared" si="54"/>
        <v/>
      </c>
      <c r="S146" s="80">
        <f t="shared" si="55"/>
        <v>133</v>
      </c>
      <c r="T146" s="80"/>
      <c r="U146" s="229" t="str">
        <f t="shared" si="56"/>
        <v/>
      </c>
      <c r="V146" s="229" t="str">
        <f t="shared" si="57"/>
        <v/>
      </c>
      <c r="W146" s="229" t="str">
        <f t="shared" si="58"/>
        <v/>
      </c>
      <c r="X146" s="97" t="str">
        <f t="shared" si="59"/>
        <v/>
      </c>
    </row>
    <row r="147" spans="1:24" x14ac:dyDescent="0.2">
      <c r="A147" s="80">
        <f t="shared" si="40"/>
        <v>134</v>
      </c>
      <c r="B147" s="80"/>
      <c r="C147" s="229" t="str">
        <f t="shared" si="41"/>
        <v/>
      </c>
      <c r="D147" s="229" t="str">
        <f t="shared" si="42"/>
        <v/>
      </c>
      <c r="E147" s="229" t="str">
        <f t="shared" si="43"/>
        <v/>
      </c>
      <c r="F147" s="97" t="str">
        <f t="shared" si="44"/>
        <v/>
      </c>
      <c r="G147" s="80">
        <f t="shared" si="45"/>
        <v>134</v>
      </c>
      <c r="H147" s="80"/>
      <c r="I147" s="229" t="str">
        <f t="shared" si="46"/>
        <v/>
      </c>
      <c r="J147" s="229" t="str">
        <f t="shared" si="47"/>
        <v/>
      </c>
      <c r="K147" s="229" t="str">
        <f t="shared" si="48"/>
        <v/>
      </c>
      <c r="L147" s="97" t="str">
        <f t="shared" si="49"/>
        <v/>
      </c>
      <c r="M147" s="80">
        <f t="shared" si="50"/>
        <v>134</v>
      </c>
      <c r="N147" s="80"/>
      <c r="O147" s="229" t="str">
        <f t="shared" si="51"/>
        <v/>
      </c>
      <c r="P147" s="229" t="str">
        <f t="shared" si="52"/>
        <v/>
      </c>
      <c r="Q147" s="229" t="str">
        <f t="shared" si="53"/>
        <v/>
      </c>
      <c r="R147" s="97" t="str">
        <f t="shared" si="54"/>
        <v/>
      </c>
      <c r="S147" s="80">
        <f t="shared" si="55"/>
        <v>134</v>
      </c>
      <c r="T147" s="80"/>
      <c r="U147" s="229" t="str">
        <f t="shared" si="56"/>
        <v/>
      </c>
      <c r="V147" s="229" t="str">
        <f t="shared" si="57"/>
        <v/>
      </c>
      <c r="W147" s="229" t="str">
        <f t="shared" si="58"/>
        <v/>
      </c>
      <c r="X147" s="97" t="str">
        <f t="shared" si="59"/>
        <v/>
      </c>
    </row>
    <row r="148" spans="1:24" x14ac:dyDescent="0.2">
      <c r="A148" s="80">
        <f t="shared" si="40"/>
        <v>135</v>
      </c>
      <c r="B148" s="80"/>
      <c r="C148" s="229" t="str">
        <f t="shared" si="41"/>
        <v/>
      </c>
      <c r="D148" s="229" t="str">
        <f t="shared" si="42"/>
        <v/>
      </c>
      <c r="E148" s="229" t="str">
        <f t="shared" si="43"/>
        <v/>
      </c>
      <c r="F148" s="97" t="str">
        <f t="shared" si="44"/>
        <v/>
      </c>
      <c r="G148" s="80">
        <f t="shared" si="45"/>
        <v>135</v>
      </c>
      <c r="H148" s="80"/>
      <c r="I148" s="229" t="str">
        <f t="shared" si="46"/>
        <v/>
      </c>
      <c r="J148" s="229" t="str">
        <f t="shared" si="47"/>
        <v/>
      </c>
      <c r="K148" s="229" t="str">
        <f t="shared" si="48"/>
        <v/>
      </c>
      <c r="L148" s="97" t="str">
        <f t="shared" si="49"/>
        <v/>
      </c>
      <c r="M148" s="80">
        <f t="shared" si="50"/>
        <v>135</v>
      </c>
      <c r="N148" s="80"/>
      <c r="O148" s="229" t="str">
        <f t="shared" si="51"/>
        <v/>
      </c>
      <c r="P148" s="229" t="str">
        <f t="shared" si="52"/>
        <v/>
      </c>
      <c r="Q148" s="229" t="str">
        <f t="shared" si="53"/>
        <v/>
      </c>
      <c r="R148" s="97" t="str">
        <f t="shared" si="54"/>
        <v/>
      </c>
      <c r="S148" s="80">
        <f t="shared" si="55"/>
        <v>135</v>
      </c>
      <c r="T148" s="80"/>
      <c r="U148" s="229" t="str">
        <f t="shared" si="56"/>
        <v/>
      </c>
      <c r="V148" s="229" t="str">
        <f t="shared" si="57"/>
        <v/>
      </c>
      <c r="W148" s="229" t="str">
        <f t="shared" si="58"/>
        <v/>
      </c>
      <c r="X148" s="97" t="str">
        <f t="shared" si="59"/>
        <v/>
      </c>
    </row>
    <row r="149" spans="1:24" x14ac:dyDescent="0.2">
      <c r="A149" s="80">
        <f t="shared" si="40"/>
        <v>136</v>
      </c>
      <c r="B149" s="80"/>
      <c r="C149" s="229" t="str">
        <f t="shared" si="41"/>
        <v/>
      </c>
      <c r="D149" s="229" t="str">
        <f t="shared" si="42"/>
        <v/>
      </c>
      <c r="E149" s="229" t="str">
        <f t="shared" si="43"/>
        <v/>
      </c>
      <c r="F149" s="97" t="str">
        <f t="shared" si="44"/>
        <v/>
      </c>
      <c r="G149" s="80">
        <f t="shared" si="45"/>
        <v>136</v>
      </c>
      <c r="H149" s="80"/>
      <c r="I149" s="229" t="str">
        <f t="shared" si="46"/>
        <v/>
      </c>
      <c r="J149" s="229" t="str">
        <f t="shared" si="47"/>
        <v/>
      </c>
      <c r="K149" s="229" t="str">
        <f t="shared" si="48"/>
        <v/>
      </c>
      <c r="L149" s="97" t="str">
        <f t="shared" si="49"/>
        <v/>
      </c>
      <c r="M149" s="80">
        <f t="shared" si="50"/>
        <v>136</v>
      </c>
      <c r="N149" s="80"/>
      <c r="O149" s="229" t="str">
        <f t="shared" si="51"/>
        <v/>
      </c>
      <c r="P149" s="229" t="str">
        <f t="shared" si="52"/>
        <v/>
      </c>
      <c r="Q149" s="229" t="str">
        <f t="shared" si="53"/>
        <v/>
      </c>
      <c r="R149" s="97" t="str">
        <f t="shared" si="54"/>
        <v/>
      </c>
      <c r="S149" s="80">
        <f t="shared" si="55"/>
        <v>136</v>
      </c>
      <c r="T149" s="80"/>
      <c r="U149" s="229" t="str">
        <f t="shared" si="56"/>
        <v/>
      </c>
      <c r="V149" s="229" t="str">
        <f t="shared" si="57"/>
        <v/>
      </c>
      <c r="W149" s="229" t="str">
        <f t="shared" si="58"/>
        <v/>
      </c>
      <c r="X149" s="97" t="str">
        <f t="shared" si="59"/>
        <v/>
      </c>
    </row>
    <row r="150" spans="1:24" x14ac:dyDescent="0.2">
      <c r="A150" s="80">
        <f t="shared" si="40"/>
        <v>137</v>
      </c>
      <c r="B150" s="80"/>
      <c r="C150" s="229" t="str">
        <f t="shared" si="41"/>
        <v/>
      </c>
      <c r="D150" s="229" t="str">
        <f t="shared" si="42"/>
        <v/>
      </c>
      <c r="E150" s="229" t="str">
        <f t="shared" si="43"/>
        <v/>
      </c>
      <c r="F150" s="97" t="str">
        <f t="shared" si="44"/>
        <v/>
      </c>
      <c r="G150" s="80">
        <f t="shared" si="45"/>
        <v>137</v>
      </c>
      <c r="H150" s="80"/>
      <c r="I150" s="229" t="str">
        <f t="shared" si="46"/>
        <v/>
      </c>
      <c r="J150" s="229" t="str">
        <f t="shared" si="47"/>
        <v/>
      </c>
      <c r="K150" s="229" t="str">
        <f t="shared" si="48"/>
        <v/>
      </c>
      <c r="L150" s="97" t="str">
        <f t="shared" si="49"/>
        <v/>
      </c>
      <c r="M150" s="80">
        <f t="shared" si="50"/>
        <v>137</v>
      </c>
      <c r="N150" s="80"/>
      <c r="O150" s="229" t="str">
        <f t="shared" si="51"/>
        <v/>
      </c>
      <c r="P150" s="229" t="str">
        <f t="shared" si="52"/>
        <v/>
      </c>
      <c r="Q150" s="229" t="str">
        <f t="shared" si="53"/>
        <v/>
      </c>
      <c r="R150" s="97" t="str">
        <f t="shared" si="54"/>
        <v/>
      </c>
      <c r="S150" s="80">
        <f t="shared" si="55"/>
        <v>137</v>
      </c>
      <c r="T150" s="80"/>
      <c r="U150" s="229" t="str">
        <f t="shared" si="56"/>
        <v/>
      </c>
      <c r="V150" s="229" t="str">
        <f t="shared" si="57"/>
        <v/>
      </c>
      <c r="W150" s="229" t="str">
        <f t="shared" si="58"/>
        <v/>
      </c>
      <c r="X150" s="97" t="str">
        <f t="shared" si="59"/>
        <v/>
      </c>
    </row>
    <row r="151" spans="1:24" x14ac:dyDescent="0.2">
      <c r="A151" s="80">
        <f t="shared" si="40"/>
        <v>138</v>
      </c>
      <c r="B151" s="80"/>
      <c r="C151" s="229" t="str">
        <f t="shared" si="41"/>
        <v/>
      </c>
      <c r="D151" s="229" t="str">
        <f t="shared" si="42"/>
        <v/>
      </c>
      <c r="E151" s="229" t="str">
        <f t="shared" si="43"/>
        <v/>
      </c>
      <c r="F151" s="97" t="str">
        <f t="shared" si="44"/>
        <v/>
      </c>
      <c r="G151" s="80">
        <f t="shared" si="45"/>
        <v>138</v>
      </c>
      <c r="H151" s="80"/>
      <c r="I151" s="229" t="str">
        <f t="shared" si="46"/>
        <v/>
      </c>
      <c r="J151" s="229" t="str">
        <f t="shared" si="47"/>
        <v/>
      </c>
      <c r="K151" s="229" t="str">
        <f t="shared" si="48"/>
        <v/>
      </c>
      <c r="L151" s="97" t="str">
        <f t="shared" si="49"/>
        <v/>
      </c>
      <c r="M151" s="80">
        <f t="shared" si="50"/>
        <v>138</v>
      </c>
      <c r="N151" s="80"/>
      <c r="O151" s="229" t="str">
        <f t="shared" si="51"/>
        <v/>
      </c>
      <c r="P151" s="229" t="str">
        <f t="shared" si="52"/>
        <v/>
      </c>
      <c r="Q151" s="229" t="str">
        <f t="shared" si="53"/>
        <v/>
      </c>
      <c r="R151" s="97" t="str">
        <f t="shared" si="54"/>
        <v/>
      </c>
      <c r="S151" s="80">
        <f t="shared" si="55"/>
        <v>138</v>
      </c>
      <c r="T151" s="80"/>
      <c r="U151" s="229" t="str">
        <f t="shared" si="56"/>
        <v/>
      </c>
      <c r="V151" s="229" t="str">
        <f t="shared" si="57"/>
        <v/>
      </c>
      <c r="W151" s="229" t="str">
        <f t="shared" si="58"/>
        <v/>
      </c>
      <c r="X151" s="97" t="str">
        <f t="shared" si="59"/>
        <v/>
      </c>
    </row>
    <row r="152" spans="1:24" x14ac:dyDescent="0.2">
      <c r="A152" s="80">
        <f t="shared" si="40"/>
        <v>139</v>
      </c>
      <c r="B152" s="80"/>
      <c r="C152" s="229" t="str">
        <f t="shared" si="41"/>
        <v/>
      </c>
      <c r="D152" s="229" t="str">
        <f t="shared" si="42"/>
        <v/>
      </c>
      <c r="E152" s="229" t="str">
        <f t="shared" si="43"/>
        <v/>
      </c>
      <c r="F152" s="97" t="str">
        <f t="shared" si="44"/>
        <v/>
      </c>
      <c r="G152" s="80">
        <f t="shared" si="45"/>
        <v>139</v>
      </c>
      <c r="H152" s="80"/>
      <c r="I152" s="229" t="str">
        <f t="shared" si="46"/>
        <v/>
      </c>
      <c r="J152" s="229" t="str">
        <f t="shared" si="47"/>
        <v/>
      </c>
      <c r="K152" s="229" t="str">
        <f t="shared" si="48"/>
        <v/>
      </c>
      <c r="L152" s="97" t="str">
        <f t="shared" si="49"/>
        <v/>
      </c>
      <c r="M152" s="80">
        <f t="shared" si="50"/>
        <v>139</v>
      </c>
      <c r="N152" s="80"/>
      <c r="O152" s="229" t="str">
        <f t="shared" si="51"/>
        <v/>
      </c>
      <c r="P152" s="229" t="str">
        <f t="shared" si="52"/>
        <v/>
      </c>
      <c r="Q152" s="229" t="str">
        <f t="shared" si="53"/>
        <v/>
      </c>
      <c r="R152" s="97" t="str">
        <f t="shared" si="54"/>
        <v/>
      </c>
      <c r="S152" s="80">
        <f t="shared" si="55"/>
        <v>139</v>
      </c>
      <c r="T152" s="80"/>
      <c r="U152" s="229" t="str">
        <f t="shared" si="56"/>
        <v/>
      </c>
      <c r="V152" s="229" t="str">
        <f t="shared" si="57"/>
        <v/>
      </c>
      <c r="W152" s="229" t="str">
        <f t="shared" si="58"/>
        <v/>
      </c>
      <c r="X152" s="97" t="str">
        <f t="shared" si="59"/>
        <v/>
      </c>
    </row>
    <row r="153" spans="1:24" x14ac:dyDescent="0.2">
      <c r="A153" s="80">
        <f t="shared" si="40"/>
        <v>140</v>
      </c>
      <c r="B153" s="80"/>
      <c r="C153" s="229" t="str">
        <f t="shared" si="41"/>
        <v/>
      </c>
      <c r="D153" s="229" t="str">
        <f t="shared" si="42"/>
        <v/>
      </c>
      <c r="E153" s="229" t="str">
        <f t="shared" si="43"/>
        <v/>
      </c>
      <c r="F153" s="97" t="str">
        <f t="shared" si="44"/>
        <v/>
      </c>
      <c r="G153" s="80">
        <f t="shared" si="45"/>
        <v>140</v>
      </c>
      <c r="H153" s="80"/>
      <c r="I153" s="229" t="str">
        <f t="shared" si="46"/>
        <v/>
      </c>
      <c r="J153" s="229" t="str">
        <f t="shared" si="47"/>
        <v/>
      </c>
      <c r="K153" s="229" t="str">
        <f t="shared" si="48"/>
        <v/>
      </c>
      <c r="L153" s="97" t="str">
        <f t="shared" si="49"/>
        <v/>
      </c>
      <c r="M153" s="80">
        <f t="shared" si="50"/>
        <v>140</v>
      </c>
      <c r="N153" s="80"/>
      <c r="O153" s="229" t="str">
        <f t="shared" si="51"/>
        <v/>
      </c>
      <c r="P153" s="229" t="str">
        <f t="shared" si="52"/>
        <v/>
      </c>
      <c r="Q153" s="229" t="str">
        <f t="shared" si="53"/>
        <v/>
      </c>
      <c r="R153" s="97" t="str">
        <f t="shared" si="54"/>
        <v/>
      </c>
      <c r="S153" s="80">
        <f t="shared" si="55"/>
        <v>140</v>
      </c>
      <c r="T153" s="80"/>
      <c r="U153" s="229" t="str">
        <f t="shared" si="56"/>
        <v/>
      </c>
      <c r="V153" s="229" t="str">
        <f t="shared" si="57"/>
        <v/>
      </c>
      <c r="W153" s="229" t="str">
        <f t="shared" si="58"/>
        <v/>
      </c>
      <c r="X153" s="97" t="str">
        <f t="shared" si="59"/>
        <v/>
      </c>
    </row>
    <row r="154" spans="1:24" x14ac:dyDescent="0.2">
      <c r="A154" s="80">
        <f t="shared" si="40"/>
        <v>141</v>
      </c>
      <c r="B154" s="80"/>
      <c r="C154" s="229" t="str">
        <f t="shared" si="41"/>
        <v/>
      </c>
      <c r="D154" s="229" t="str">
        <f t="shared" si="42"/>
        <v/>
      </c>
      <c r="E154" s="229" t="str">
        <f t="shared" si="43"/>
        <v/>
      </c>
      <c r="F154" s="97" t="str">
        <f t="shared" si="44"/>
        <v/>
      </c>
      <c r="G154" s="80">
        <f t="shared" si="45"/>
        <v>141</v>
      </c>
      <c r="H154" s="80"/>
      <c r="I154" s="229" t="str">
        <f t="shared" si="46"/>
        <v/>
      </c>
      <c r="J154" s="229" t="str">
        <f t="shared" si="47"/>
        <v/>
      </c>
      <c r="K154" s="229" t="str">
        <f t="shared" si="48"/>
        <v/>
      </c>
      <c r="L154" s="97" t="str">
        <f t="shared" si="49"/>
        <v/>
      </c>
      <c r="M154" s="80">
        <f t="shared" si="50"/>
        <v>141</v>
      </c>
      <c r="N154" s="80"/>
      <c r="O154" s="229" t="str">
        <f t="shared" si="51"/>
        <v/>
      </c>
      <c r="P154" s="229" t="str">
        <f t="shared" si="52"/>
        <v/>
      </c>
      <c r="Q154" s="229" t="str">
        <f t="shared" si="53"/>
        <v/>
      </c>
      <c r="R154" s="97" t="str">
        <f t="shared" si="54"/>
        <v/>
      </c>
      <c r="S154" s="80">
        <f t="shared" si="55"/>
        <v>141</v>
      </c>
      <c r="T154" s="80"/>
      <c r="U154" s="229" t="str">
        <f t="shared" si="56"/>
        <v/>
      </c>
      <c r="V154" s="229" t="str">
        <f t="shared" si="57"/>
        <v/>
      </c>
      <c r="W154" s="229" t="str">
        <f t="shared" si="58"/>
        <v/>
      </c>
      <c r="X154" s="97" t="str">
        <f t="shared" si="59"/>
        <v/>
      </c>
    </row>
    <row r="155" spans="1:24" x14ac:dyDescent="0.2">
      <c r="A155" s="80">
        <f t="shared" si="40"/>
        <v>142</v>
      </c>
      <c r="B155" s="80"/>
      <c r="C155" s="229" t="str">
        <f t="shared" si="41"/>
        <v/>
      </c>
      <c r="D155" s="229" t="str">
        <f t="shared" si="42"/>
        <v/>
      </c>
      <c r="E155" s="229" t="str">
        <f t="shared" si="43"/>
        <v/>
      </c>
      <c r="F155" s="97" t="str">
        <f t="shared" si="44"/>
        <v/>
      </c>
      <c r="G155" s="80">
        <f t="shared" si="45"/>
        <v>142</v>
      </c>
      <c r="H155" s="80"/>
      <c r="I155" s="229" t="str">
        <f t="shared" si="46"/>
        <v/>
      </c>
      <c r="J155" s="229" t="str">
        <f t="shared" si="47"/>
        <v/>
      </c>
      <c r="K155" s="229" t="str">
        <f t="shared" si="48"/>
        <v/>
      </c>
      <c r="L155" s="97" t="str">
        <f t="shared" si="49"/>
        <v/>
      </c>
      <c r="M155" s="80">
        <f t="shared" si="50"/>
        <v>142</v>
      </c>
      <c r="N155" s="80"/>
      <c r="O155" s="229" t="str">
        <f t="shared" si="51"/>
        <v/>
      </c>
      <c r="P155" s="229" t="str">
        <f t="shared" si="52"/>
        <v/>
      </c>
      <c r="Q155" s="229" t="str">
        <f t="shared" si="53"/>
        <v/>
      </c>
      <c r="R155" s="97" t="str">
        <f t="shared" si="54"/>
        <v/>
      </c>
      <c r="S155" s="80">
        <f t="shared" si="55"/>
        <v>142</v>
      </c>
      <c r="T155" s="80"/>
      <c r="U155" s="229" t="str">
        <f t="shared" si="56"/>
        <v/>
      </c>
      <c r="V155" s="229" t="str">
        <f t="shared" si="57"/>
        <v/>
      </c>
      <c r="W155" s="229" t="str">
        <f t="shared" si="58"/>
        <v/>
      </c>
      <c r="X155" s="97" t="str">
        <f t="shared" si="59"/>
        <v/>
      </c>
    </row>
    <row r="156" spans="1:24" x14ac:dyDescent="0.2">
      <c r="A156" s="80">
        <f t="shared" si="40"/>
        <v>143</v>
      </c>
      <c r="B156" s="80"/>
      <c r="C156" s="229" t="str">
        <f t="shared" si="41"/>
        <v/>
      </c>
      <c r="D156" s="229" t="str">
        <f t="shared" si="42"/>
        <v/>
      </c>
      <c r="E156" s="229" t="str">
        <f t="shared" si="43"/>
        <v/>
      </c>
      <c r="F156" s="97" t="str">
        <f t="shared" si="44"/>
        <v/>
      </c>
      <c r="G156" s="80">
        <f t="shared" si="45"/>
        <v>143</v>
      </c>
      <c r="H156" s="80"/>
      <c r="I156" s="229" t="str">
        <f t="shared" si="46"/>
        <v/>
      </c>
      <c r="J156" s="229" t="str">
        <f t="shared" si="47"/>
        <v/>
      </c>
      <c r="K156" s="229" t="str">
        <f t="shared" si="48"/>
        <v/>
      </c>
      <c r="L156" s="97" t="str">
        <f t="shared" si="49"/>
        <v/>
      </c>
      <c r="M156" s="80">
        <f t="shared" si="50"/>
        <v>143</v>
      </c>
      <c r="N156" s="80"/>
      <c r="O156" s="229" t="str">
        <f t="shared" si="51"/>
        <v/>
      </c>
      <c r="P156" s="229" t="str">
        <f t="shared" si="52"/>
        <v/>
      </c>
      <c r="Q156" s="229" t="str">
        <f t="shared" si="53"/>
        <v/>
      </c>
      <c r="R156" s="97" t="str">
        <f t="shared" si="54"/>
        <v/>
      </c>
      <c r="S156" s="80">
        <f t="shared" si="55"/>
        <v>143</v>
      </c>
      <c r="T156" s="80"/>
      <c r="U156" s="229" t="str">
        <f t="shared" si="56"/>
        <v/>
      </c>
      <c r="V156" s="229" t="str">
        <f t="shared" si="57"/>
        <v/>
      </c>
      <c r="W156" s="229" t="str">
        <f t="shared" si="58"/>
        <v/>
      </c>
      <c r="X156" s="97" t="str">
        <f t="shared" si="59"/>
        <v/>
      </c>
    </row>
    <row r="157" spans="1:24" x14ac:dyDescent="0.2">
      <c r="A157" s="80">
        <f t="shared" si="40"/>
        <v>144</v>
      </c>
      <c r="B157" s="80"/>
      <c r="C157" s="229" t="str">
        <f t="shared" si="41"/>
        <v/>
      </c>
      <c r="D157" s="229" t="str">
        <f t="shared" si="42"/>
        <v/>
      </c>
      <c r="E157" s="229" t="str">
        <f t="shared" si="43"/>
        <v/>
      </c>
      <c r="F157" s="97" t="str">
        <f t="shared" si="44"/>
        <v/>
      </c>
      <c r="G157" s="80">
        <f t="shared" si="45"/>
        <v>144</v>
      </c>
      <c r="H157" s="80"/>
      <c r="I157" s="229" t="str">
        <f t="shared" si="46"/>
        <v/>
      </c>
      <c r="J157" s="229" t="str">
        <f t="shared" si="47"/>
        <v/>
      </c>
      <c r="K157" s="229" t="str">
        <f t="shared" si="48"/>
        <v/>
      </c>
      <c r="L157" s="97" t="str">
        <f t="shared" si="49"/>
        <v/>
      </c>
      <c r="M157" s="80">
        <f t="shared" si="50"/>
        <v>144</v>
      </c>
      <c r="N157" s="80"/>
      <c r="O157" s="229" t="str">
        <f t="shared" si="51"/>
        <v/>
      </c>
      <c r="P157" s="229" t="str">
        <f t="shared" si="52"/>
        <v/>
      </c>
      <c r="Q157" s="229" t="str">
        <f t="shared" si="53"/>
        <v/>
      </c>
      <c r="R157" s="97" t="str">
        <f t="shared" si="54"/>
        <v/>
      </c>
      <c r="S157" s="80">
        <f t="shared" si="55"/>
        <v>144</v>
      </c>
      <c r="T157" s="80"/>
      <c r="U157" s="229" t="str">
        <f t="shared" si="56"/>
        <v/>
      </c>
      <c r="V157" s="229" t="str">
        <f t="shared" si="57"/>
        <v/>
      </c>
      <c r="W157" s="229" t="str">
        <f t="shared" si="58"/>
        <v/>
      </c>
      <c r="X157" s="97" t="str">
        <f t="shared" si="59"/>
        <v/>
      </c>
    </row>
    <row r="158" spans="1:24" x14ac:dyDescent="0.2">
      <c r="A158" s="80">
        <f t="shared" si="40"/>
        <v>145</v>
      </c>
      <c r="B158" s="80"/>
      <c r="C158" s="229" t="str">
        <f t="shared" si="41"/>
        <v/>
      </c>
      <c r="D158" s="229" t="str">
        <f t="shared" si="42"/>
        <v/>
      </c>
      <c r="E158" s="229" t="str">
        <f t="shared" si="43"/>
        <v/>
      </c>
      <c r="F158" s="97" t="str">
        <f t="shared" si="44"/>
        <v/>
      </c>
      <c r="G158" s="80">
        <f t="shared" si="45"/>
        <v>145</v>
      </c>
      <c r="H158" s="80"/>
      <c r="I158" s="229" t="str">
        <f t="shared" si="46"/>
        <v/>
      </c>
      <c r="J158" s="229" t="str">
        <f t="shared" si="47"/>
        <v/>
      </c>
      <c r="K158" s="229" t="str">
        <f t="shared" si="48"/>
        <v/>
      </c>
      <c r="L158" s="97" t="str">
        <f t="shared" si="49"/>
        <v/>
      </c>
      <c r="M158" s="80">
        <f t="shared" si="50"/>
        <v>145</v>
      </c>
      <c r="N158" s="80"/>
      <c r="O158" s="229" t="str">
        <f t="shared" si="51"/>
        <v/>
      </c>
      <c r="P158" s="229" t="str">
        <f t="shared" si="52"/>
        <v/>
      </c>
      <c r="Q158" s="229" t="str">
        <f t="shared" si="53"/>
        <v/>
      </c>
      <c r="R158" s="97" t="str">
        <f t="shared" si="54"/>
        <v/>
      </c>
      <c r="S158" s="80">
        <f t="shared" si="55"/>
        <v>145</v>
      </c>
      <c r="T158" s="80"/>
      <c r="U158" s="229" t="str">
        <f t="shared" si="56"/>
        <v/>
      </c>
      <c r="V158" s="229" t="str">
        <f t="shared" si="57"/>
        <v/>
      </c>
      <c r="W158" s="229" t="str">
        <f t="shared" si="58"/>
        <v/>
      </c>
      <c r="X158" s="97" t="str">
        <f t="shared" si="59"/>
        <v/>
      </c>
    </row>
    <row r="159" spans="1:24" x14ac:dyDescent="0.2">
      <c r="A159" s="80">
        <f t="shared" si="40"/>
        <v>146</v>
      </c>
      <c r="B159" s="80"/>
      <c r="C159" s="229" t="str">
        <f t="shared" si="41"/>
        <v/>
      </c>
      <c r="D159" s="229" t="str">
        <f t="shared" si="42"/>
        <v/>
      </c>
      <c r="E159" s="229" t="str">
        <f t="shared" si="43"/>
        <v/>
      </c>
      <c r="F159" s="97" t="str">
        <f t="shared" si="44"/>
        <v/>
      </c>
      <c r="G159" s="80">
        <f t="shared" si="45"/>
        <v>146</v>
      </c>
      <c r="H159" s="80"/>
      <c r="I159" s="229" t="str">
        <f t="shared" si="46"/>
        <v/>
      </c>
      <c r="J159" s="229" t="str">
        <f t="shared" si="47"/>
        <v/>
      </c>
      <c r="K159" s="229" t="str">
        <f t="shared" si="48"/>
        <v/>
      </c>
      <c r="L159" s="97" t="str">
        <f t="shared" si="49"/>
        <v/>
      </c>
      <c r="M159" s="80">
        <f t="shared" si="50"/>
        <v>146</v>
      </c>
      <c r="N159" s="80"/>
      <c r="O159" s="229" t="str">
        <f t="shared" si="51"/>
        <v/>
      </c>
      <c r="P159" s="229" t="str">
        <f t="shared" si="52"/>
        <v/>
      </c>
      <c r="Q159" s="229" t="str">
        <f t="shared" si="53"/>
        <v/>
      </c>
      <c r="R159" s="97" t="str">
        <f t="shared" si="54"/>
        <v/>
      </c>
      <c r="S159" s="80">
        <f t="shared" si="55"/>
        <v>146</v>
      </c>
      <c r="T159" s="80"/>
      <c r="U159" s="229" t="str">
        <f t="shared" si="56"/>
        <v/>
      </c>
      <c r="V159" s="229" t="str">
        <f t="shared" si="57"/>
        <v/>
      </c>
      <c r="W159" s="229" t="str">
        <f t="shared" si="58"/>
        <v/>
      </c>
      <c r="X159" s="97" t="str">
        <f t="shared" si="59"/>
        <v/>
      </c>
    </row>
    <row r="160" spans="1:24" x14ac:dyDescent="0.2">
      <c r="A160" s="80">
        <f t="shared" si="40"/>
        <v>147</v>
      </c>
      <c r="B160" s="80"/>
      <c r="C160" s="229" t="str">
        <f t="shared" si="41"/>
        <v/>
      </c>
      <c r="D160" s="229" t="str">
        <f t="shared" si="42"/>
        <v/>
      </c>
      <c r="E160" s="229" t="str">
        <f t="shared" si="43"/>
        <v/>
      </c>
      <c r="F160" s="97" t="str">
        <f t="shared" si="44"/>
        <v/>
      </c>
      <c r="G160" s="80">
        <f t="shared" si="45"/>
        <v>147</v>
      </c>
      <c r="H160" s="80"/>
      <c r="I160" s="229" t="str">
        <f t="shared" si="46"/>
        <v/>
      </c>
      <c r="J160" s="229" t="str">
        <f t="shared" si="47"/>
        <v/>
      </c>
      <c r="K160" s="229" t="str">
        <f t="shared" si="48"/>
        <v/>
      </c>
      <c r="L160" s="97" t="str">
        <f t="shared" si="49"/>
        <v/>
      </c>
      <c r="M160" s="80">
        <f t="shared" si="50"/>
        <v>147</v>
      </c>
      <c r="N160" s="80"/>
      <c r="O160" s="229" t="str">
        <f t="shared" si="51"/>
        <v/>
      </c>
      <c r="P160" s="229" t="str">
        <f t="shared" si="52"/>
        <v/>
      </c>
      <c r="Q160" s="229" t="str">
        <f t="shared" si="53"/>
        <v/>
      </c>
      <c r="R160" s="97" t="str">
        <f t="shared" si="54"/>
        <v/>
      </c>
      <c r="S160" s="80">
        <f t="shared" si="55"/>
        <v>147</v>
      </c>
      <c r="T160" s="80"/>
      <c r="U160" s="229" t="str">
        <f t="shared" si="56"/>
        <v/>
      </c>
      <c r="V160" s="229" t="str">
        <f t="shared" si="57"/>
        <v/>
      </c>
      <c r="W160" s="229" t="str">
        <f t="shared" si="58"/>
        <v/>
      </c>
      <c r="X160" s="97" t="str">
        <f t="shared" si="59"/>
        <v/>
      </c>
    </row>
    <row r="161" spans="1:24" x14ac:dyDescent="0.2">
      <c r="A161" s="80">
        <f t="shared" si="40"/>
        <v>148</v>
      </c>
      <c r="B161" s="80"/>
      <c r="C161" s="229" t="str">
        <f t="shared" si="41"/>
        <v/>
      </c>
      <c r="D161" s="229" t="str">
        <f t="shared" si="42"/>
        <v/>
      </c>
      <c r="E161" s="229" t="str">
        <f t="shared" si="43"/>
        <v/>
      </c>
      <c r="F161" s="97" t="str">
        <f t="shared" si="44"/>
        <v/>
      </c>
      <c r="G161" s="80">
        <f t="shared" si="45"/>
        <v>148</v>
      </c>
      <c r="H161" s="80"/>
      <c r="I161" s="229" t="str">
        <f t="shared" si="46"/>
        <v/>
      </c>
      <c r="J161" s="229" t="str">
        <f t="shared" si="47"/>
        <v/>
      </c>
      <c r="K161" s="229" t="str">
        <f t="shared" si="48"/>
        <v/>
      </c>
      <c r="L161" s="97" t="str">
        <f t="shared" si="49"/>
        <v/>
      </c>
      <c r="M161" s="80">
        <f t="shared" si="50"/>
        <v>148</v>
      </c>
      <c r="N161" s="80"/>
      <c r="O161" s="229" t="str">
        <f t="shared" si="51"/>
        <v/>
      </c>
      <c r="P161" s="229" t="str">
        <f t="shared" si="52"/>
        <v/>
      </c>
      <c r="Q161" s="229" t="str">
        <f t="shared" si="53"/>
        <v/>
      </c>
      <c r="R161" s="97" t="str">
        <f t="shared" si="54"/>
        <v/>
      </c>
      <c r="S161" s="80">
        <f t="shared" si="55"/>
        <v>148</v>
      </c>
      <c r="T161" s="80"/>
      <c r="U161" s="229" t="str">
        <f t="shared" si="56"/>
        <v/>
      </c>
      <c r="V161" s="229" t="str">
        <f t="shared" si="57"/>
        <v/>
      </c>
      <c r="W161" s="229" t="str">
        <f t="shared" si="58"/>
        <v/>
      </c>
      <c r="X161" s="97" t="str">
        <f t="shared" si="59"/>
        <v/>
      </c>
    </row>
    <row r="162" spans="1:24" x14ac:dyDescent="0.2">
      <c r="A162" s="80">
        <f t="shared" si="40"/>
        <v>149</v>
      </c>
      <c r="B162" s="80"/>
      <c r="C162" s="229" t="str">
        <f t="shared" si="41"/>
        <v/>
      </c>
      <c r="D162" s="229" t="str">
        <f t="shared" si="42"/>
        <v/>
      </c>
      <c r="E162" s="229" t="str">
        <f t="shared" si="43"/>
        <v/>
      </c>
      <c r="F162" s="97" t="str">
        <f t="shared" si="44"/>
        <v/>
      </c>
      <c r="G162" s="80">
        <f t="shared" si="45"/>
        <v>149</v>
      </c>
      <c r="H162" s="80"/>
      <c r="I162" s="229" t="str">
        <f t="shared" si="46"/>
        <v/>
      </c>
      <c r="J162" s="229" t="str">
        <f t="shared" si="47"/>
        <v/>
      </c>
      <c r="K162" s="229" t="str">
        <f t="shared" si="48"/>
        <v/>
      </c>
      <c r="L162" s="97" t="str">
        <f t="shared" si="49"/>
        <v/>
      </c>
      <c r="M162" s="80">
        <f t="shared" si="50"/>
        <v>149</v>
      </c>
      <c r="N162" s="80"/>
      <c r="O162" s="229" t="str">
        <f t="shared" si="51"/>
        <v/>
      </c>
      <c r="P162" s="229" t="str">
        <f t="shared" si="52"/>
        <v/>
      </c>
      <c r="Q162" s="229" t="str">
        <f t="shared" si="53"/>
        <v/>
      </c>
      <c r="R162" s="97" t="str">
        <f t="shared" si="54"/>
        <v/>
      </c>
      <c r="S162" s="80">
        <f t="shared" si="55"/>
        <v>149</v>
      </c>
      <c r="T162" s="80"/>
      <c r="U162" s="229" t="str">
        <f t="shared" si="56"/>
        <v/>
      </c>
      <c r="V162" s="229" t="str">
        <f t="shared" si="57"/>
        <v/>
      </c>
      <c r="W162" s="229" t="str">
        <f t="shared" si="58"/>
        <v/>
      </c>
      <c r="X162" s="97" t="str">
        <f t="shared" si="59"/>
        <v/>
      </c>
    </row>
    <row r="163" spans="1:24" x14ac:dyDescent="0.2">
      <c r="A163" s="80">
        <f t="shared" si="40"/>
        <v>150</v>
      </c>
      <c r="B163" s="80"/>
      <c r="C163" s="229" t="str">
        <f t="shared" si="41"/>
        <v/>
      </c>
      <c r="D163" s="229" t="str">
        <f t="shared" si="42"/>
        <v/>
      </c>
      <c r="E163" s="229" t="str">
        <f t="shared" si="43"/>
        <v/>
      </c>
      <c r="F163" s="97" t="str">
        <f t="shared" si="44"/>
        <v/>
      </c>
      <c r="G163" s="80">
        <f t="shared" si="45"/>
        <v>150</v>
      </c>
      <c r="H163" s="80"/>
      <c r="I163" s="229" t="str">
        <f t="shared" si="46"/>
        <v/>
      </c>
      <c r="J163" s="229" t="str">
        <f t="shared" si="47"/>
        <v/>
      </c>
      <c r="K163" s="229" t="str">
        <f t="shared" si="48"/>
        <v/>
      </c>
      <c r="L163" s="97" t="str">
        <f t="shared" si="49"/>
        <v/>
      </c>
      <c r="M163" s="80">
        <f t="shared" si="50"/>
        <v>150</v>
      </c>
      <c r="N163" s="80"/>
      <c r="O163" s="229" t="str">
        <f t="shared" si="51"/>
        <v/>
      </c>
      <c r="P163" s="229" t="str">
        <f t="shared" si="52"/>
        <v/>
      </c>
      <c r="Q163" s="229" t="str">
        <f t="shared" si="53"/>
        <v/>
      </c>
      <c r="R163" s="97" t="str">
        <f t="shared" si="54"/>
        <v/>
      </c>
      <c r="S163" s="80">
        <f t="shared" si="55"/>
        <v>150</v>
      </c>
      <c r="T163" s="80"/>
      <c r="U163" s="229" t="str">
        <f t="shared" si="56"/>
        <v/>
      </c>
      <c r="V163" s="229" t="str">
        <f t="shared" si="57"/>
        <v/>
      </c>
      <c r="W163" s="229" t="str">
        <f t="shared" si="58"/>
        <v/>
      </c>
      <c r="X163" s="97" t="str">
        <f t="shared" si="59"/>
        <v/>
      </c>
    </row>
    <row r="164" spans="1:24" x14ac:dyDescent="0.2">
      <c r="A164" s="80">
        <f t="shared" si="40"/>
        <v>151</v>
      </c>
      <c r="B164" s="80"/>
      <c r="C164" s="229" t="str">
        <f t="shared" si="41"/>
        <v/>
      </c>
      <c r="D164" s="229" t="str">
        <f t="shared" si="42"/>
        <v/>
      </c>
      <c r="E164" s="229" t="str">
        <f t="shared" si="43"/>
        <v/>
      </c>
      <c r="F164" s="97" t="str">
        <f t="shared" si="44"/>
        <v/>
      </c>
      <c r="G164" s="80">
        <f t="shared" si="45"/>
        <v>151</v>
      </c>
      <c r="H164" s="80"/>
      <c r="I164" s="229" t="str">
        <f t="shared" si="46"/>
        <v/>
      </c>
      <c r="J164" s="229" t="str">
        <f t="shared" si="47"/>
        <v/>
      </c>
      <c r="K164" s="229" t="str">
        <f t="shared" si="48"/>
        <v/>
      </c>
      <c r="L164" s="97" t="str">
        <f t="shared" si="49"/>
        <v/>
      </c>
      <c r="M164" s="80">
        <f t="shared" si="50"/>
        <v>151</v>
      </c>
      <c r="N164" s="80"/>
      <c r="O164" s="229" t="str">
        <f t="shared" si="51"/>
        <v/>
      </c>
      <c r="P164" s="229" t="str">
        <f t="shared" si="52"/>
        <v/>
      </c>
      <c r="Q164" s="229" t="str">
        <f t="shared" si="53"/>
        <v/>
      </c>
      <c r="R164" s="97" t="str">
        <f t="shared" si="54"/>
        <v/>
      </c>
      <c r="S164" s="80">
        <f t="shared" si="55"/>
        <v>151</v>
      </c>
      <c r="T164" s="80"/>
      <c r="U164" s="229" t="str">
        <f t="shared" si="56"/>
        <v/>
      </c>
      <c r="V164" s="229" t="str">
        <f t="shared" si="57"/>
        <v/>
      </c>
      <c r="W164" s="229" t="str">
        <f t="shared" si="58"/>
        <v/>
      </c>
      <c r="X164" s="97" t="str">
        <f t="shared" si="59"/>
        <v/>
      </c>
    </row>
    <row r="165" spans="1:24" x14ac:dyDescent="0.2">
      <c r="A165" s="80">
        <f t="shared" si="40"/>
        <v>152</v>
      </c>
      <c r="B165" s="80"/>
      <c r="C165" s="229" t="str">
        <f t="shared" si="41"/>
        <v/>
      </c>
      <c r="D165" s="229" t="str">
        <f t="shared" si="42"/>
        <v/>
      </c>
      <c r="E165" s="229" t="str">
        <f t="shared" si="43"/>
        <v/>
      </c>
      <c r="F165" s="97" t="str">
        <f t="shared" si="44"/>
        <v/>
      </c>
      <c r="G165" s="80">
        <f t="shared" si="45"/>
        <v>152</v>
      </c>
      <c r="H165" s="80"/>
      <c r="I165" s="229" t="str">
        <f t="shared" si="46"/>
        <v/>
      </c>
      <c r="J165" s="229" t="str">
        <f t="shared" si="47"/>
        <v/>
      </c>
      <c r="K165" s="229" t="str">
        <f t="shared" si="48"/>
        <v/>
      </c>
      <c r="L165" s="97" t="str">
        <f t="shared" si="49"/>
        <v/>
      </c>
      <c r="M165" s="80">
        <f t="shared" si="50"/>
        <v>152</v>
      </c>
      <c r="N165" s="80"/>
      <c r="O165" s="229" t="str">
        <f t="shared" si="51"/>
        <v/>
      </c>
      <c r="P165" s="229" t="str">
        <f t="shared" si="52"/>
        <v/>
      </c>
      <c r="Q165" s="229" t="str">
        <f t="shared" si="53"/>
        <v/>
      </c>
      <c r="R165" s="97" t="str">
        <f t="shared" si="54"/>
        <v/>
      </c>
      <c r="S165" s="80">
        <f t="shared" si="55"/>
        <v>152</v>
      </c>
      <c r="T165" s="80"/>
      <c r="U165" s="229" t="str">
        <f t="shared" si="56"/>
        <v/>
      </c>
      <c r="V165" s="229" t="str">
        <f t="shared" si="57"/>
        <v/>
      </c>
      <c r="W165" s="229" t="str">
        <f t="shared" si="58"/>
        <v/>
      </c>
      <c r="X165" s="97" t="str">
        <f t="shared" si="59"/>
        <v/>
      </c>
    </row>
    <row r="166" spans="1:24" x14ac:dyDescent="0.2">
      <c r="A166" s="80">
        <f t="shared" si="40"/>
        <v>153</v>
      </c>
      <c r="B166" s="80"/>
      <c r="C166" s="229" t="str">
        <f t="shared" si="41"/>
        <v/>
      </c>
      <c r="D166" s="229" t="str">
        <f t="shared" si="42"/>
        <v/>
      </c>
      <c r="E166" s="229" t="str">
        <f t="shared" si="43"/>
        <v/>
      </c>
      <c r="F166" s="97" t="str">
        <f t="shared" si="44"/>
        <v/>
      </c>
      <c r="G166" s="80">
        <f t="shared" si="45"/>
        <v>153</v>
      </c>
      <c r="H166" s="80"/>
      <c r="I166" s="229" t="str">
        <f t="shared" si="46"/>
        <v/>
      </c>
      <c r="J166" s="229" t="str">
        <f t="shared" si="47"/>
        <v/>
      </c>
      <c r="K166" s="229" t="str">
        <f t="shared" si="48"/>
        <v/>
      </c>
      <c r="L166" s="97" t="str">
        <f t="shared" si="49"/>
        <v/>
      </c>
      <c r="M166" s="80">
        <f t="shared" si="50"/>
        <v>153</v>
      </c>
      <c r="N166" s="80"/>
      <c r="O166" s="229" t="str">
        <f t="shared" si="51"/>
        <v/>
      </c>
      <c r="P166" s="229" t="str">
        <f t="shared" si="52"/>
        <v/>
      </c>
      <c r="Q166" s="229" t="str">
        <f t="shared" si="53"/>
        <v/>
      </c>
      <c r="R166" s="97" t="str">
        <f t="shared" si="54"/>
        <v/>
      </c>
      <c r="S166" s="80">
        <f t="shared" si="55"/>
        <v>153</v>
      </c>
      <c r="T166" s="80"/>
      <c r="U166" s="229" t="str">
        <f t="shared" si="56"/>
        <v/>
      </c>
      <c r="V166" s="229" t="str">
        <f t="shared" si="57"/>
        <v/>
      </c>
      <c r="W166" s="229" t="str">
        <f t="shared" si="58"/>
        <v/>
      </c>
      <c r="X166" s="97" t="str">
        <f t="shared" si="59"/>
        <v/>
      </c>
    </row>
    <row r="167" spans="1:24" x14ac:dyDescent="0.2">
      <c r="A167" s="80">
        <f t="shared" si="40"/>
        <v>154</v>
      </c>
      <c r="B167" s="80"/>
      <c r="C167" s="229" t="str">
        <f t="shared" si="41"/>
        <v/>
      </c>
      <c r="D167" s="229" t="str">
        <f t="shared" si="42"/>
        <v/>
      </c>
      <c r="E167" s="229" t="str">
        <f t="shared" si="43"/>
        <v/>
      </c>
      <c r="F167" s="97" t="str">
        <f t="shared" si="44"/>
        <v/>
      </c>
      <c r="G167" s="80">
        <f t="shared" si="45"/>
        <v>154</v>
      </c>
      <c r="H167" s="80"/>
      <c r="I167" s="229" t="str">
        <f t="shared" si="46"/>
        <v/>
      </c>
      <c r="J167" s="229" t="str">
        <f t="shared" si="47"/>
        <v/>
      </c>
      <c r="K167" s="229" t="str">
        <f t="shared" si="48"/>
        <v/>
      </c>
      <c r="L167" s="97" t="str">
        <f t="shared" si="49"/>
        <v/>
      </c>
      <c r="M167" s="80">
        <f t="shared" si="50"/>
        <v>154</v>
      </c>
      <c r="N167" s="80"/>
      <c r="O167" s="229" t="str">
        <f t="shared" si="51"/>
        <v/>
      </c>
      <c r="P167" s="229" t="str">
        <f t="shared" si="52"/>
        <v/>
      </c>
      <c r="Q167" s="229" t="str">
        <f t="shared" si="53"/>
        <v/>
      </c>
      <c r="R167" s="97" t="str">
        <f t="shared" si="54"/>
        <v/>
      </c>
      <c r="S167" s="80">
        <f t="shared" si="55"/>
        <v>154</v>
      </c>
      <c r="T167" s="80"/>
      <c r="U167" s="229" t="str">
        <f t="shared" si="56"/>
        <v/>
      </c>
      <c r="V167" s="229" t="str">
        <f t="shared" si="57"/>
        <v/>
      </c>
      <c r="W167" s="229" t="str">
        <f t="shared" si="58"/>
        <v/>
      </c>
      <c r="X167" s="97" t="str">
        <f t="shared" si="59"/>
        <v/>
      </c>
    </row>
    <row r="168" spans="1:24" x14ac:dyDescent="0.2">
      <c r="A168" s="80">
        <f t="shared" si="40"/>
        <v>155</v>
      </c>
      <c r="B168" s="80"/>
      <c r="C168" s="229" t="str">
        <f t="shared" si="41"/>
        <v/>
      </c>
      <c r="D168" s="229" t="str">
        <f t="shared" si="42"/>
        <v/>
      </c>
      <c r="E168" s="229" t="str">
        <f t="shared" si="43"/>
        <v/>
      </c>
      <c r="F168" s="97" t="str">
        <f t="shared" si="44"/>
        <v/>
      </c>
      <c r="G168" s="80">
        <f t="shared" si="45"/>
        <v>155</v>
      </c>
      <c r="H168" s="80"/>
      <c r="I168" s="229" t="str">
        <f t="shared" si="46"/>
        <v/>
      </c>
      <c r="J168" s="229" t="str">
        <f t="shared" si="47"/>
        <v/>
      </c>
      <c r="K168" s="229" t="str">
        <f t="shared" si="48"/>
        <v/>
      </c>
      <c r="L168" s="97" t="str">
        <f t="shared" si="49"/>
        <v/>
      </c>
      <c r="M168" s="80">
        <f t="shared" si="50"/>
        <v>155</v>
      </c>
      <c r="N168" s="80"/>
      <c r="O168" s="229" t="str">
        <f t="shared" si="51"/>
        <v/>
      </c>
      <c r="P168" s="229" t="str">
        <f t="shared" si="52"/>
        <v/>
      </c>
      <c r="Q168" s="229" t="str">
        <f t="shared" si="53"/>
        <v/>
      </c>
      <c r="R168" s="97" t="str">
        <f t="shared" si="54"/>
        <v/>
      </c>
      <c r="S168" s="80">
        <f t="shared" si="55"/>
        <v>155</v>
      </c>
      <c r="T168" s="80"/>
      <c r="U168" s="229" t="str">
        <f t="shared" si="56"/>
        <v/>
      </c>
      <c r="V168" s="229" t="str">
        <f t="shared" si="57"/>
        <v/>
      </c>
      <c r="W168" s="229" t="str">
        <f t="shared" si="58"/>
        <v/>
      </c>
      <c r="X168" s="97" t="str">
        <f t="shared" si="59"/>
        <v/>
      </c>
    </row>
    <row r="169" spans="1:24" x14ac:dyDescent="0.2">
      <c r="A169" s="80">
        <f t="shared" si="40"/>
        <v>156</v>
      </c>
      <c r="B169" s="80"/>
      <c r="C169" s="229" t="str">
        <f t="shared" si="41"/>
        <v/>
      </c>
      <c r="D169" s="229" t="str">
        <f t="shared" si="42"/>
        <v/>
      </c>
      <c r="E169" s="229" t="str">
        <f t="shared" si="43"/>
        <v/>
      </c>
      <c r="F169" s="97" t="str">
        <f t="shared" si="44"/>
        <v/>
      </c>
      <c r="G169" s="80">
        <f t="shared" si="45"/>
        <v>156</v>
      </c>
      <c r="H169" s="80"/>
      <c r="I169" s="229" t="str">
        <f t="shared" si="46"/>
        <v/>
      </c>
      <c r="J169" s="229" t="str">
        <f t="shared" si="47"/>
        <v/>
      </c>
      <c r="K169" s="229" t="str">
        <f t="shared" si="48"/>
        <v/>
      </c>
      <c r="L169" s="97" t="str">
        <f t="shared" si="49"/>
        <v/>
      </c>
      <c r="M169" s="80">
        <f t="shared" si="50"/>
        <v>156</v>
      </c>
      <c r="N169" s="80"/>
      <c r="O169" s="229" t="str">
        <f t="shared" si="51"/>
        <v/>
      </c>
      <c r="P169" s="229" t="str">
        <f t="shared" si="52"/>
        <v/>
      </c>
      <c r="Q169" s="229" t="str">
        <f t="shared" si="53"/>
        <v/>
      </c>
      <c r="R169" s="97" t="str">
        <f t="shared" si="54"/>
        <v/>
      </c>
      <c r="S169" s="80">
        <f t="shared" si="55"/>
        <v>156</v>
      </c>
      <c r="T169" s="80"/>
      <c r="U169" s="229" t="str">
        <f t="shared" si="56"/>
        <v/>
      </c>
      <c r="V169" s="229" t="str">
        <f t="shared" si="57"/>
        <v/>
      </c>
      <c r="W169" s="229" t="str">
        <f t="shared" si="58"/>
        <v/>
      </c>
      <c r="X169" s="97" t="str">
        <f t="shared" si="59"/>
        <v/>
      </c>
    </row>
    <row r="170" spans="1:24" x14ac:dyDescent="0.2">
      <c r="A170" s="80">
        <f t="shared" si="40"/>
        <v>157</v>
      </c>
      <c r="B170" s="80"/>
      <c r="C170" s="229" t="str">
        <f t="shared" si="41"/>
        <v/>
      </c>
      <c r="D170" s="229" t="str">
        <f t="shared" si="42"/>
        <v/>
      </c>
      <c r="E170" s="229" t="str">
        <f t="shared" si="43"/>
        <v/>
      </c>
      <c r="F170" s="97" t="str">
        <f t="shared" si="44"/>
        <v/>
      </c>
      <c r="G170" s="80">
        <f t="shared" si="45"/>
        <v>157</v>
      </c>
      <c r="H170" s="80"/>
      <c r="I170" s="229" t="str">
        <f t="shared" si="46"/>
        <v/>
      </c>
      <c r="J170" s="229" t="str">
        <f t="shared" si="47"/>
        <v/>
      </c>
      <c r="K170" s="229" t="str">
        <f t="shared" si="48"/>
        <v/>
      </c>
      <c r="L170" s="97" t="str">
        <f t="shared" si="49"/>
        <v/>
      </c>
      <c r="M170" s="80">
        <f t="shared" si="50"/>
        <v>157</v>
      </c>
      <c r="N170" s="80"/>
      <c r="O170" s="229" t="str">
        <f t="shared" si="51"/>
        <v/>
      </c>
      <c r="P170" s="229" t="str">
        <f t="shared" si="52"/>
        <v/>
      </c>
      <c r="Q170" s="229" t="str">
        <f t="shared" si="53"/>
        <v/>
      </c>
      <c r="R170" s="97" t="str">
        <f t="shared" si="54"/>
        <v/>
      </c>
      <c r="S170" s="80">
        <f t="shared" si="55"/>
        <v>157</v>
      </c>
      <c r="T170" s="80"/>
      <c r="U170" s="229" t="str">
        <f t="shared" si="56"/>
        <v/>
      </c>
      <c r="V170" s="229" t="str">
        <f t="shared" si="57"/>
        <v/>
      </c>
      <c r="W170" s="229" t="str">
        <f t="shared" si="58"/>
        <v/>
      </c>
      <c r="X170" s="97" t="str">
        <f t="shared" si="59"/>
        <v/>
      </c>
    </row>
    <row r="171" spans="1:24" x14ac:dyDescent="0.2">
      <c r="A171" s="80">
        <f t="shared" si="40"/>
        <v>158</v>
      </c>
      <c r="B171" s="80"/>
      <c r="C171" s="229" t="str">
        <f t="shared" si="41"/>
        <v/>
      </c>
      <c r="D171" s="229" t="str">
        <f t="shared" si="42"/>
        <v/>
      </c>
      <c r="E171" s="229" t="str">
        <f t="shared" si="43"/>
        <v/>
      </c>
      <c r="F171" s="97" t="str">
        <f t="shared" si="44"/>
        <v/>
      </c>
      <c r="G171" s="80">
        <f t="shared" si="45"/>
        <v>158</v>
      </c>
      <c r="H171" s="80"/>
      <c r="I171" s="229" t="str">
        <f t="shared" si="46"/>
        <v/>
      </c>
      <c r="J171" s="229" t="str">
        <f t="shared" si="47"/>
        <v/>
      </c>
      <c r="K171" s="229" t="str">
        <f t="shared" si="48"/>
        <v/>
      </c>
      <c r="L171" s="97" t="str">
        <f t="shared" si="49"/>
        <v/>
      </c>
      <c r="M171" s="80">
        <f t="shared" si="50"/>
        <v>158</v>
      </c>
      <c r="N171" s="80"/>
      <c r="O171" s="229" t="str">
        <f t="shared" si="51"/>
        <v/>
      </c>
      <c r="P171" s="229" t="str">
        <f t="shared" si="52"/>
        <v/>
      </c>
      <c r="Q171" s="229" t="str">
        <f t="shared" si="53"/>
        <v/>
      </c>
      <c r="R171" s="97" t="str">
        <f t="shared" si="54"/>
        <v/>
      </c>
      <c r="S171" s="80">
        <f t="shared" si="55"/>
        <v>158</v>
      </c>
      <c r="T171" s="80"/>
      <c r="U171" s="229" t="str">
        <f t="shared" si="56"/>
        <v/>
      </c>
      <c r="V171" s="229" t="str">
        <f t="shared" si="57"/>
        <v/>
      </c>
      <c r="W171" s="229" t="str">
        <f t="shared" si="58"/>
        <v/>
      </c>
      <c r="X171" s="97" t="str">
        <f t="shared" si="59"/>
        <v/>
      </c>
    </row>
    <row r="172" spans="1:24" x14ac:dyDescent="0.2">
      <c r="A172" s="80">
        <f t="shared" si="40"/>
        <v>159</v>
      </c>
      <c r="B172" s="80"/>
      <c r="C172" s="229" t="str">
        <f t="shared" si="41"/>
        <v/>
      </c>
      <c r="D172" s="229" t="str">
        <f t="shared" si="42"/>
        <v/>
      </c>
      <c r="E172" s="229" t="str">
        <f t="shared" si="43"/>
        <v/>
      </c>
      <c r="F172" s="97" t="str">
        <f t="shared" si="44"/>
        <v/>
      </c>
      <c r="G172" s="80">
        <f t="shared" si="45"/>
        <v>159</v>
      </c>
      <c r="H172" s="80"/>
      <c r="I172" s="229" t="str">
        <f t="shared" si="46"/>
        <v/>
      </c>
      <c r="J172" s="229" t="str">
        <f t="shared" si="47"/>
        <v/>
      </c>
      <c r="K172" s="229" t="str">
        <f t="shared" si="48"/>
        <v/>
      </c>
      <c r="L172" s="97" t="str">
        <f t="shared" si="49"/>
        <v/>
      </c>
      <c r="M172" s="80">
        <f t="shared" si="50"/>
        <v>159</v>
      </c>
      <c r="N172" s="80"/>
      <c r="O172" s="229" t="str">
        <f t="shared" si="51"/>
        <v/>
      </c>
      <c r="P172" s="229" t="str">
        <f t="shared" si="52"/>
        <v/>
      </c>
      <c r="Q172" s="229" t="str">
        <f t="shared" si="53"/>
        <v/>
      </c>
      <c r="R172" s="97" t="str">
        <f t="shared" si="54"/>
        <v/>
      </c>
      <c r="S172" s="80">
        <f t="shared" si="55"/>
        <v>159</v>
      </c>
      <c r="T172" s="80"/>
      <c r="U172" s="229" t="str">
        <f t="shared" si="56"/>
        <v/>
      </c>
      <c r="V172" s="229" t="str">
        <f t="shared" si="57"/>
        <v/>
      </c>
      <c r="W172" s="229" t="str">
        <f t="shared" si="58"/>
        <v/>
      </c>
      <c r="X172" s="97" t="str">
        <f t="shared" si="59"/>
        <v/>
      </c>
    </row>
    <row r="173" spans="1:24" x14ac:dyDescent="0.2">
      <c r="A173" s="80">
        <f t="shared" si="40"/>
        <v>160</v>
      </c>
      <c r="B173" s="80"/>
      <c r="C173" s="229" t="str">
        <f t="shared" si="41"/>
        <v/>
      </c>
      <c r="D173" s="229" t="str">
        <f t="shared" si="42"/>
        <v/>
      </c>
      <c r="E173" s="229" t="str">
        <f t="shared" si="43"/>
        <v/>
      </c>
      <c r="F173" s="97" t="str">
        <f t="shared" si="44"/>
        <v/>
      </c>
      <c r="G173" s="80">
        <f t="shared" si="45"/>
        <v>160</v>
      </c>
      <c r="H173" s="80"/>
      <c r="I173" s="229" t="str">
        <f t="shared" si="46"/>
        <v/>
      </c>
      <c r="J173" s="229" t="str">
        <f t="shared" si="47"/>
        <v/>
      </c>
      <c r="K173" s="229" t="str">
        <f t="shared" si="48"/>
        <v/>
      </c>
      <c r="L173" s="97" t="str">
        <f t="shared" si="49"/>
        <v/>
      </c>
      <c r="M173" s="80">
        <f t="shared" si="50"/>
        <v>160</v>
      </c>
      <c r="N173" s="80"/>
      <c r="O173" s="229" t="str">
        <f t="shared" si="51"/>
        <v/>
      </c>
      <c r="P173" s="229" t="str">
        <f t="shared" si="52"/>
        <v/>
      </c>
      <c r="Q173" s="229" t="str">
        <f t="shared" si="53"/>
        <v/>
      </c>
      <c r="R173" s="97" t="str">
        <f t="shared" si="54"/>
        <v/>
      </c>
      <c r="S173" s="80">
        <f t="shared" si="55"/>
        <v>160</v>
      </c>
      <c r="T173" s="80"/>
      <c r="U173" s="229" t="str">
        <f t="shared" si="56"/>
        <v/>
      </c>
      <c r="V173" s="229" t="str">
        <f t="shared" si="57"/>
        <v/>
      </c>
      <c r="W173" s="229" t="str">
        <f t="shared" si="58"/>
        <v/>
      </c>
      <c r="X173" s="97" t="str">
        <f t="shared" si="59"/>
        <v/>
      </c>
    </row>
    <row r="174" spans="1:24" x14ac:dyDescent="0.2">
      <c r="A174" s="80">
        <f t="shared" si="40"/>
        <v>161</v>
      </c>
      <c r="B174" s="80"/>
      <c r="C174" s="229" t="str">
        <f t="shared" si="41"/>
        <v/>
      </c>
      <c r="D174" s="229" t="str">
        <f t="shared" si="42"/>
        <v/>
      </c>
      <c r="E174" s="229" t="str">
        <f t="shared" si="43"/>
        <v/>
      </c>
      <c r="F174" s="97" t="str">
        <f t="shared" si="44"/>
        <v/>
      </c>
      <c r="G174" s="80">
        <f t="shared" si="45"/>
        <v>161</v>
      </c>
      <c r="H174" s="80"/>
      <c r="I174" s="229" t="str">
        <f t="shared" si="46"/>
        <v/>
      </c>
      <c r="J174" s="229" t="str">
        <f t="shared" si="47"/>
        <v/>
      </c>
      <c r="K174" s="229" t="str">
        <f t="shared" si="48"/>
        <v/>
      </c>
      <c r="L174" s="97" t="str">
        <f t="shared" si="49"/>
        <v/>
      </c>
      <c r="M174" s="80">
        <f t="shared" si="50"/>
        <v>161</v>
      </c>
      <c r="N174" s="80"/>
      <c r="O174" s="229" t="str">
        <f t="shared" si="51"/>
        <v/>
      </c>
      <c r="P174" s="229" t="str">
        <f t="shared" si="52"/>
        <v/>
      </c>
      <c r="Q174" s="229" t="str">
        <f t="shared" si="53"/>
        <v/>
      </c>
      <c r="R174" s="97" t="str">
        <f t="shared" si="54"/>
        <v/>
      </c>
      <c r="S174" s="80">
        <f t="shared" si="55"/>
        <v>161</v>
      </c>
      <c r="T174" s="80"/>
      <c r="U174" s="229" t="str">
        <f t="shared" si="56"/>
        <v/>
      </c>
      <c r="V174" s="229" t="str">
        <f t="shared" si="57"/>
        <v/>
      </c>
      <c r="W174" s="229" t="str">
        <f t="shared" si="58"/>
        <v/>
      </c>
      <c r="X174" s="97" t="str">
        <f t="shared" si="59"/>
        <v/>
      </c>
    </row>
    <row r="175" spans="1:24" x14ac:dyDescent="0.2">
      <c r="A175" s="80">
        <f t="shared" si="40"/>
        <v>162</v>
      </c>
      <c r="B175" s="80"/>
      <c r="C175" s="229" t="str">
        <f t="shared" si="41"/>
        <v/>
      </c>
      <c r="D175" s="229" t="str">
        <f t="shared" si="42"/>
        <v/>
      </c>
      <c r="E175" s="229" t="str">
        <f t="shared" si="43"/>
        <v/>
      </c>
      <c r="F175" s="97" t="str">
        <f t="shared" si="44"/>
        <v/>
      </c>
      <c r="G175" s="80">
        <f t="shared" si="45"/>
        <v>162</v>
      </c>
      <c r="H175" s="80"/>
      <c r="I175" s="229" t="str">
        <f t="shared" si="46"/>
        <v/>
      </c>
      <c r="J175" s="229" t="str">
        <f t="shared" si="47"/>
        <v/>
      </c>
      <c r="K175" s="229" t="str">
        <f t="shared" si="48"/>
        <v/>
      </c>
      <c r="L175" s="97" t="str">
        <f t="shared" si="49"/>
        <v/>
      </c>
      <c r="M175" s="80">
        <f t="shared" si="50"/>
        <v>162</v>
      </c>
      <c r="N175" s="80"/>
      <c r="O175" s="229" t="str">
        <f t="shared" si="51"/>
        <v/>
      </c>
      <c r="P175" s="229" t="str">
        <f t="shared" si="52"/>
        <v/>
      </c>
      <c r="Q175" s="229" t="str">
        <f t="shared" si="53"/>
        <v/>
      </c>
      <c r="R175" s="97" t="str">
        <f t="shared" si="54"/>
        <v/>
      </c>
      <c r="S175" s="80">
        <f t="shared" si="55"/>
        <v>162</v>
      </c>
      <c r="T175" s="80"/>
      <c r="U175" s="229" t="str">
        <f t="shared" si="56"/>
        <v/>
      </c>
      <c r="V175" s="229" t="str">
        <f t="shared" si="57"/>
        <v/>
      </c>
      <c r="W175" s="229" t="str">
        <f t="shared" si="58"/>
        <v/>
      </c>
      <c r="X175" s="97" t="str">
        <f t="shared" si="59"/>
        <v/>
      </c>
    </row>
    <row r="176" spans="1:24" x14ac:dyDescent="0.2">
      <c r="A176" s="80">
        <f t="shared" si="40"/>
        <v>163</v>
      </c>
      <c r="B176" s="80"/>
      <c r="C176" s="229" t="str">
        <f t="shared" si="41"/>
        <v/>
      </c>
      <c r="D176" s="229" t="str">
        <f t="shared" si="42"/>
        <v/>
      </c>
      <c r="E176" s="229" t="str">
        <f t="shared" si="43"/>
        <v/>
      </c>
      <c r="F176" s="97" t="str">
        <f t="shared" si="44"/>
        <v/>
      </c>
      <c r="G176" s="80">
        <f t="shared" si="45"/>
        <v>163</v>
      </c>
      <c r="H176" s="80"/>
      <c r="I176" s="229" t="str">
        <f t="shared" si="46"/>
        <v/>
      </c>
      <c r="J176" s="229" t="str">
        <f t="shared" si="47"/>
        <v/>
      </c>
      <c r="K176" s="229" t="str">
        <f t="shared" si="48"/>
        <v/>
      </c>
      <c r="L176" s="97" t="str">
        <f t="shared" si="49"/>
        <v/>
      </c>
      <c r="M176" s="80">
        <f t="shared" si="50"/>
        <v>163</v>
      </c>
      <c r="N176" s="80"/>
      <c r="O176" s="229" t="str">
        <f t="shared" si="51"/>
        <v/>
      </c>
      <c r="P176" s="229" t="str">
        <f t="shared" si="52"/>
        <v/>
      </c>
      <c r="Q176" s="229" t="str">
        <f t="shared" si="53"/>
        <v/>
      </c>
      <c r="R176" s="97" t="str">
        <f t="shared" si="54"/>
        <v/>
      </c>
      <c r="S176" s="80">
        <f t="shared" si="55"/>
        <v>163</v>
      </c>
      <c r="T176" s="80"/>
      <c r="U176" s="229" t="str">
        <f t="shared" si="56"/>
        <v/>
      </c>
      <c r="V176" s="229" t="str">
        <f t="shared" si="57"/>
        <v/>
      </c>
      <c r="W176" s="229" t="str">
        <f t="shared" si="58"/>
        <v/>
      </c>
      <c r="X176" s="97" t="str">
        <f t="shared" si="59"/>
        <v/>
      </c>
    </row>
    <row r="177" spans="1:26" x14ac:dyDescent="0.2">
      <c r="A177" s="80">
        <f t="shared" si="40"/>
        <v>164</v>
      </c>
      <c r="B177" s="80"/>
      <c r="C177" s="229" t="str">
        <f t="shared" si="41"/>
        <v/>
      </c>
      <c r="D177" s="229" t="str">
        <f t="shared" si="42"/>
        <v/>
      </c>
      <c r="E177" s="229" t="str">
        <f t="shared" si="43"/>
        <v/>
      </c>
      <c r="F177" s="97" t="str">
        <f t="shared" si="44"/>
        <v/>
      </c>
      <c r="G177" s="80">
        <f t="shared" si="45"/>
        <v>164</v>
      </c>
      <c r="H177" s="80"/>
      <c r="I177" s="229" t="str">
        <f t="shared" si="46"/>
        <v/>
      </c>
      <c r="J177" s="229" t="str">
        <f t="shared" si="47"/>
        <v/>
      </c>
      <c r="K177" s="229" t="str">
        <f t="shared" si="48"/>
        <v/>
      </c>
      <c r="L177" s="97" t="str">
        <f t="shared" si="49"/>
        <v/>
      </c>
      <c r="M177" s="80">
        <f t="shared" si="50"/>
        <v>164</v>
      </c>
      <c r="N177" s="80"/>
      <c r="O177" s="229" t="str">
        <f t="shared" si="51"/>
        <v/>
      </c>
      <c r="P177" s="229" t="str">
        <f t="shared" si="52"/>
        <v/>
      </c>
      <c r="Q177" s="229" t="str">
        <f t="shared" si="53"/>
        <v/>
      </c>
      <c r="R177" s="97" t="str">
        <f t="shared" si="54"/>
        <v/>
      </c>
      <c r="S177" s="80">
        <f t="shared" si="55"/>
        <v>164</v>
      </c>
      <c r="T177" s="80"/>
      <c r="U177" s="229" t="str">
        <f t="shared" si="56"/>
        <v/>
      </c>
      <c r="V177" s="229" t="str">
        <f t="shared" si="57"/>
        <v/>
      </c>
      <c r="W177" s="229" t="str">
        <f t="shared" si="58"/>
        <v/>
      </c>
      <c r="X177" s="97" t="str">
        <f t="shared" si="59"/>
        <v/>
      </c>
    </row>
    <row r="178" spans="1:26" x14ac:dyDescent="0.2">
      <c r="A178" s="80">
        <f t="shared" si="40"/>
        <v>165</v>
      </c>
      <c r="B178" s="80"/>
      <c r="C178" s="229" t="str">
        <f t="shared" si="41"/>
        <v/>
      </c>
      <c r="D178" s="229" t="str">
        <f t="shared" si="42"/>
        <v/>
      </c>
      <c r="E178" s="229" t="str">
        <f t="shared" si="43"/>
        <v/>
      </c>
      <c r="F178" s="97" t="str">
        <f t="shared" si="44"/>
        <v/>
      </c>
      <c r="G178" s="80">
        <f t="shared" si="45"/>
        <v>165</v>
      </c>
      <c r="H178" s="80"/>
      <c r="I178" s="229" t="str">
        <f t="shared" si="46"/>
        <v/>
      </c>
      <c r="J178" s="229" t="str">
        <f t="shared" si="47"/>
        <v/>
      </c>
      <c r="K178" s="229" t="str">
        <f t="shared" si="48"/>
        <v/>
      </c>
      <c r="L178" s="97" t="str">
        <f t="shared" si="49"/>
        <v/>
      </c>
      <c r="M178" s="80">
        <f t="shared" si="50"/>
        <v>165</v>
      </c>
      <c r="N178" s="80"/>
      <c r="O178" s="229" t="str">
        <f t="shared" si="51"/>
        <v/>
      </c>
      <c r="P178" s="229" t="str">
        <f t="shared" si="52"/>
        <v/>
      </c>
      <c r="Q178" s="229" t="str">
        <f t="shared" si="53"/>
        <v/>
      </c>
      <c r="R178" s="97" t="str">
        <f t="shared" si="54"/>
        <v/>
      </c>
      <c r="S178" s="80">
        <f t="shared" si="55"/>
        <v>165</v>
      </c>
      <c r="T178" s="80"/>
      <c r="U178" s="229" t="str">
        <f t="shared" si="56"/>
        <v/>
      </c>
      <c r="V178" s="229" t="str">
        <f t="shared" si="57"/>
        <v/>
      </c>
      <c r="W178" s="229" t="str">
        <f t="shared" si="58"/>
        <v/>
      </c>
      <c r="X178" s="97" t="str">
        <f t="shared" si="59"/>
        <v/>
      </c>
    </row>
    <row r="179" spans="1:26" x14ac:dyDescent="0.2">
      <c r="A179" s="80">
        <f t="shared" si="40"/>
        <v>166</v>
      </c>
      <c r="B179" s="80"/>
      <c r="C179" s="229" t="str">
        <f t="shared" si="41"/>
        <v/>
      </c>
      <c r="D179" s="229" t="str">
        <f t="shared" si="42"/>
        <v/>
      </c>
      <c r="E179" s="229" t="str">
        <f t="shared" si="43"/>
        <v/>
      </c>
      <c r="F179" s="97" t="str">
        <f t="shared" si="44"/>
        <v/>
      </c>
      <c r="G179" s="80">
        <f t="shared" si="45"/>
        <v>166</v>
      </c>
      <c r="H179" s="80"/>
      <c r="I179" s="229" t="str">
        <f t="shared" si="46"/>
        <v/>
      </c>
      <c r="J179" s="229" t="str">
        <f t="shared" si="47"/>
        <v/>
      </c>
      <c r="K179" s="229" t="str">
        <f t="shared" si="48"/>
        <v/>
      </c>
      <c r="L179" s="97" t="str">
        <f t="shared" si="49"/>
        <v/>
      </c>
      <c r="M179" s="80">
        <f t="shared" si="50"/>
        <v>166</v>
      </c>
      <c r="N179" s="80"/>
      <c r="O179" s="229" t="str">
        <f t="shared" si="51"/>
        <v/>
      </c>
      <c r="P179" s="229" t="str">
        <f t="shared" si="52"/>
        <v/>
      </c>
      <c r="Q179" s="229" t="str">
        <f t="shared" si="53"/>
        <v/>
      </c>
      <c r="R179" s="97" t="str">
        <f t="shared" si="54"/>
        <v/>
      </c>
      <c r="S179" s="80">
        <f t="shared" si="55"/>
        <v>166</v>
      </c>
      <c r="T179" s="80"/>
      <c r="U179" s="229" t="str">
        <f t="shared" si="56"/>
        <v/>
      </c>
      <c r="V179" s="229" t="str">
        <f t="shared" si="57"/>
        <v/>
      </c>
      <c r="W179" s="229" t="str">
        <f t="shared" si="58"/>
        <v/>
      </c>
      <c r="X179" s="97" t="str">
        <f t="shared" si="59"/>
        <v/>
      </c>
    </row>
    <row r="180" spans="1:26" x14ac:dyDescent="0.2">
      <c r="A180" s="80">
        <f t="shared" si="40"/>
        <v>167</v>
      </c>
      <c r="B180" s="80"/>
      <c r="C180" s="229" t="str">
        <f t="shared" si="41"/>
        <v/>
      </c>
      <c r="D180" s="229" t="str">
        <f t="shared" si="42"/>
        <v/>
      </c>
      <c r="E180" s="229" t="str">
        <f t="shared" si="43"/>
        <v/>
      </c>
      <c r="F180" s="97" t="str">
        <f t="shared" si="44"/>
        <v/>
      </c>
      <c r="G180" s="80">
        <f t="shared" si="45"/>
        <v>167</v>
      </c>
      <c r="H180" s="80"/>
      <c r="I180" s="229" t="str">
        <f t="shared" si="46"/>
        <v/>
      </c>
      <c r="J180" s="229" t="str">
        <f t="shared" si="47"/>
        <v/>
      </c>
      <c r="K180" s="229" t="str">
        <f t="shared" si="48"/>
        <v/>
      </c>
      <c r="L180" s="97" t="str">
        <f t="shared" si="49"/>
        <v/>
      </c>
      <c r="M180" s="80">
        <f t="shared" si="50"/>
        <v>167</v>
      </c>
      <c r="N180" s="80"/>
      <c r="O180" s="229" t="str">
        <f t="shared" si="51"/>
        <v/>
      </c>
      <c r="P180" s="229" t="str">
        <f t="shared" si="52"/>
        <v/>
      </c>
      <c r="Q180" s="229" t="str">
        <f t="shared" si="53"/>
        <v/>
      </c>
      <c r="R180" s="97" t="str">
        <f t="shared" si="54"/>
        <v/>
      </c>
      <c r="S180" s="80">
        <f t="shared" si="55"/>
        <v>167</v>
      </c>
      <c r="T180" s="80"/>
      <c r="U180" s="229" t="str">
        <f t="shared" si="56"/>
        <v/>
      </c>
      <c r="V180" s="229" t="str">
        <f t="shared" si="57"/>
        <v/>
      </c>
      <c r="W180" s="229" t="str">
        <f t="shared" si="58"/>
        <v/>
      </c>
      <c r="X180" s="97" t="str">
        <f t="shared" si="59"/>
        <v/>
      </c>
    </row>
    <row r="181" spans="1:26" x14ac:dyDescent="0.2">
      <c r="A181" s="80">
        <f t="shared" si="40"/>
        <v>168</v>
      </c>
      <c r="B181" s="80"/>
      <c r="C181" s="229" t="str">
        <f t="shared" si="41"/>
        <v/>
      </c>
      <c r="D181" s="229" t="str">
        <f t="shared" si="42"/>
        <v/>
      </c>
      <c r="E181" s="229" t="str">
        <f t="shared" si="43"/>
        <v/>
      </c>
      <c r="F181" s="97" t="str">
        <f t="shared" si="44"/>
        <v/>
      </c>
      <c r="G181" s="80">
        <f t="shared" si="45"/>
        <v>168</v>
      </c>
      <c r="H181" s="80"/>
      <c r="I181" s="229" t="str">
        <f t="shared" si="46"/>
        <v/>
      </c>
      <c r="J181" s="229" t="str">
        <f t="shared" si="47"/>
        <v/>
      </c>
      <c r="K181" s="229" t="str">
        <f t="shared" si="48"/>
        <v/>
      </c>
      <c r="L181" s="97" t="str">
        <f t="shared" si="49"/>
        <v/>
      </c>
      <c r="M181" s="80">
        <f t="shared" si="50"/>
        <v>168</v>
      </c>
      <c r="N181" s="80"/>
      <c r="O181" s="229" t="str">
        <f t="shared" si="51"/>
        <v/>
      </c>
      <c r="P181" s="229" t="str">
        <f t="shared" si="52"/>
        <v/>
      </c>
      <c r="Q181" s="229" t="str">
        <f t="shared" si="53"/>
        <v/>
      </c>
      <c r="R181" s="97" t="str">
        <f t="shared" si="54"/>
        <v/>
      </c>
      <c r="S181" s="80">
        <f t="shared" si="55"/>
        <v>168</v>
      </c>
      <c r="T181" s="80"/>
      <c r="U181" s="229" t="str">
        <f t="shared" si="56"/>
        <v/>
      </c>
      <c r="V181" s="229" t="str">
        <f t="shared" si="57"/>
        <v/>
      </c>
      <c r="W181" s="229" t="str">
        <f t="shared" si="58"/>
        <v/>
      </c>
      <c r="X181" s="97" t="str">
        <f t="shared" si="59"/>
        <v/>
      </c>
    </row>
    <row r="182" spans="1:26" x14ac:dyDescent="0.2">
      <c r="A182" s="80">
        <f t="shared" si="40"/>
        <v>169</v>
      </c>
      <c r="B182" s="80"/>
      <c r="C182" s="229" t="str">
        <f t="shared" si="41"/>
        <v/>
      </c>
      <c r="D182" s="229" t="str">
        <f t="shared" si="42"/>
        <v/>
      </c>
      <c r="E182" s="229" t="str">
        <f t="shared" si="43"/>
        <v/>
      </c>
      <c r="F182" s="97" t="str">
        <f t="shared" si="44"/>
        <v/>
      </c>
      <c r="G182" s="80">
        <f t="shared" si="45"/>
        <v>169</v>
      </c>
      <c r="H182" s="80"/>
      <c r="I182" s="229" t="str">
        <f t="shared" si="46"/>
        <v/>
      </c>
      <c r="J182" s="229" t="str">
        <f t="shared" si="47"/>
        <v/>
      </c>
      <c r="K182" s="229" t="str">
        <f t="shared" si="48"/>
        <v/>
      </c>
      <c r="L182" s="97" t="str">
        <f t="shared" si="49"/>
        <v/>
      </c>
      <c r="M182" s="80">
        <f t="shared" si="50"/>
        <v>169</v>
      </c>
      <c r="N182" s="80"/>
      <c r="O182" s="229" t="str">
        <f t="shared" si="51"/>
        <v/>
      </c>
      <c r="P182" s="229" t="str">
        <f t="shared" si="52"/>
        <v/>
      </c>
      <c r="Q182" s="229" t="str">
        <f t="shared" si="53"/>
        <v/>
      </c>
      <c r="R182" s="97" t="str">
        <f t="shared" si="54"/>
        <v/>
      </c>
      <c r="S182" s="80">
        <f t="shared" si="55"/>
        <v>169</v>
      </c>
      <c r="T182" s="80"/>
      <c r="U182" s="229" t="str">
        <f t="shared" si="56"/>
        <v/>
      </c>
      <c r="V182" s="229" t="str">
        <f t="shared" si="57"/>
        <v/>
      </c>
      <c r="W182" s="229" t="str">
        <f t="shared" si="58"/>
        <v/>
      </c>
      <c r="X182" s="97" t="str">
        <f t="shared" si="59"/>
        <v/>
      </c>
    </row>
    <row r="183" spans="1:26" x14ac:dyDescent="0.2">
      <c r="A183" s="80">
        <f t="shared" si="40"/>
        <v>170</v>
      </c>
      <c r="B183" s="80"/>
      <c r="C183" s="229" t="str">
        <f t="shared" si="41"/>
        <v/>
      </c>
      <c r="D183" s="229" t="str">
        <f t="shared" si="42"/>
        <v/>
      </c>
      <c r="E183" s="229" t="str">
        <f t="shared" si="43"/>
        <v/>
      </c>
      <c r="F183" s="97" t="str">
        <f t="shared" si="44"/>
        <v/>
      </c>
      <c r="G183" s="80">
        <f t="shared" si="45"/>
        <v>170</v>
      </c>
      <c r="H183" s="80"/>
      <c r="I183" s="229" t="str">
        <f t="shared" si="46"/>
        <v/>
      </c>
      <c r="J183" s="229" t="str">
        <f t="shared" si="47"/>
        <v/>
      </c>
      <c r="K183" s="229" t="str">
        <f t="shared" si="48"/>
        <v/>
      </c>
      <c r="L183" s="97" t="str">
        <f t="shared" si="49"/>
        <v/>
      </c>
      <c r="M183" s="80">
        <f t="shared" si="50"/>
        <v>170</v>
      </c>
      <c r="N183" s="80"/>
      <c r="O183" s="229" t="str">
        <f t="shared" si="51"/>
        <v/>
      </c>
      <c r="P183" s="229" t="str">
        <f t="shared" si="52"/>
        <v/>
      </c>
      <c r="Q183" s="229" t="str">
        <f t="shared" si="53"/>
        <v/>
      </c>
      <c r="R183" s="97" t="str">
        <f t="shared" si="54"/>
        <v/>
      </c>
      <c r="S183" s="80">
        <f t="shared" si="55"/>
        <v>170</v>
      </c>
      <c r="T183" s="80"/>
      <c r="U183" s="229" t="str">
        <f t="shared" si="56"/>
        <v/>
      </c>
      <c r="V183" s="229" t="str">
        <f t="shared" si="57"/>
        <v/>
      </c>
      <c r="W183" s="229" t="str">
        <f t="shared" si="58"/>
        <v/>
      </c>
      <c r="X183" s="97" t="str">
        <f t="shared" si="59"/>
        <v/>
      </c>
    </row>
    <row r="184" spans="1:26" x14ac:dyDescent="0.2">
      <c r="A184" s="80">
        <f t="shared" si="40"/>
        <v>171</v>
      </c>
      <c r="B184" s="80"/>
      <c r="C184" s="229" t="str">
        <f t="shared" si="41"/>
        <v/>
      </c>
      <c r="D184" s="229" t="str">
        <f t="shared" si="42"/>
        <v/>
      </c>
      <c r="E184" s="229" t="str">
        <f t="shared" si="43"/>
        <v/>
      </c>
      <c r="F184" s="97" t="str">
        <f t="shared" si="44"/>
        <v/>
      </c>
      <c r="G184" s="80">
        <f t="shared" si="45"/>
        <v>171</v>
      </c>
      <c r="H184" s="80"/>
      <c r="I184" s="229" t="str">
        <f t="shared" si="46"/>
        <v/>
      </c>
      <c r="J184" s="229" t="str">
        <f t="shared" si="47"/>
        <v/>
      </c>
      <c r="K184" s="229" t="str">
        <f t="shared" si="48"/>
        <v/>
      </c>
      <c r="L184" s="97" t="str">
        <f t="shared" si="49"/>
        <v/>
      </c>
      <c r="M184" s="80">
        <f t="shared" si="50"/>
        <v>171</v>
      </c>
      <c r="N184" s="80"/>
      <c r="O184" s="229" t="str">
        <f t="shared" si="51"/>
        <v/>
      </c>
      <c r="P184" s="229" t="str">
        <f t="shared" si="52"/>
        <v/>
      </c>
      <c r="Q184" s="229" t="str">
        <f t="shared" si="53"/>
        <v/>
      </c>
      <c r="R184" s="97" t="str">
        <f t="shared" si="54"/>
        <v/>
      </c>
      <c r="S184" s="80">
        <f t="shared" si="55"/>
        <v>171</v>
      </c>
      <c r="T184" s="80"/>
      <c r="U184" s="229" t="str">
        <f t="shared" si="56"/>
        <v/>
      </c>
      <c r="V184" s="229" t="str">
        <f t="shared" si="57"/>
        <v/>
      </c>
      <c r="W184" s="229" t="str">
        <f t="shared" si="58"/>
        <v/>
      </c>
      <c r="X184" s="97" t="str">
        <f t="shared" si="59"/>
        <v/>
      </c>
      <c r="Z184" s="95"/>
    </row>
    <row r="185" spans="1:26" x14ac:dyDescent="0.2">
      <c r="A185" s="80">
        <f t="shared" si="40"/>
        <v>172</v>
      </c>
      <c r="B185" s="80"/>
      <c r="C185" s="229" t="str">
        <f t="shared" si="41"/>
        <v/>
      </c>
      <c r="D185" s="229" t="str">
        <f t="shared" si="42"/>
        <v/>
      </c>
      <c r="E185" s="229" t="str">
        <f t="shared" si="43"/>
        <v/>
      </c>
      <c r="F185" s="97" t="str">
        <f t="shared" si="44"/>
        <v/>
      </c>
      <c r="G185" s="80">
        <f t="shared" si="45"/>
        <v>172</v>
      </c>
      <c r="H185" s="80"/>
      <c r="I185" s="229" t="str">
        <f t="shared" si="46"/>
        <v/>
      </c>
      <c r="J185" s="229" t="str">
        <f t="shared" si="47"/>
        <v/>
      </c>
      <c r="K185" s="229" t="str">
        <f t="shared" si="48"/>
        <v/>
      </c>
      <c r="L185" s="97" t="str">
        <f t="shared" si="49"/>
        <v/>
      </c>
      <c r="M185" s="80">
        <f t="shared" si="50"/>
        <v>172</v>
      </c>
      <c r="N185" s="80"/>
      <c r="O185" s="229" t="str">
        <f t="shared" si="51"/>
        <v/>
      </c>
      <c r="P185" s="229" t="str">
        <f t="shared" si="52"/>
        <v/>
      </c>
      <c r="Q185" s="229" t="str">
        <f t="shared" si="53"/>
        <v/>
      </c>
      <c r="R185" s="97" t="str">
        <f t="shared" si="54"/>
        <v/>
      </c>
      <c r="S185" s="80">
        <f t="shared" si="55"/>
        <v>172</v>
      </c>
      <c r="T185" s="80"/>
      <c r="U185" s="229" t="str">
        <f t="shared" si="56"/>
        <v/>
      </c>
      <c r="V185" s="229" t="str">
        <f t="shared" si="57"/>
        <v/>
      </c>
      <c r="W185" s="229" t="str">
        <f t="shared" si="58"/>
        <v/>
      </c>
      <c r="X185" s="97" t="str">
        <f t="shared" si="59"/>
        <v/>
      </c>
      <c r="Z185" s="95"/>
    </row>
    <row r="186" spans="1:26" x14ac:dyDescent="0.2">
      <c r="A186" s="80">
        <f t="shared" si="40"/>
        <v>173</v>
      </c>
      <c r="B186" s="80"/>
      <c r="C186" s="229" t="str">
        <f t="shared" si="41"/>
        <v/>
      </c>
      <c r="D186" s="229" t="str">
        <f t="shared" si="42"/>
        <v/>
      </c>
      <c r="E186" s="229" t="str">
        <f t="shared" si="43"/>
        <v/>
      </c>
      <c r="F186" s="97" t="str">
        <f t="shared" si="44"/>
        <v/>
      </c>
      <c r="G186" s="80">
        <f t="shared" si="45"/>
        <v>173</v>
      </c>
      <c r="H186" s="80"/>
      <c r="I186" s="229" t="str">
        <f t="shared" si="46"/>
        <v/>
      </c>
      <c r="J186" s="229" t="str">
        <f t="shared" si="47"/>
        <v/>
      </c>
      <c r="K186" s="229" t="str">
        <f t="shared" si="48"/>
        <v/>
      </c>
      <c r="L186" s="97" t="str">
        <f t="shared" si="49"/>
        <v/>
      </c>
      <c r="M186" s="80">
        <f t="shared" si="50"/>
        <v>173</v>
      </c>
      <c r="N186" s="80"/>
      <c r="O186" s="229" t="str">
        <f t="shared" si="51"/>
        <v/>
      </c>
      <c r="P186" s="229" t="str">
        <f t="shared" si="52"/>
        <v/>
      </c>
      <c r="Q186" s="229" t="str">
        <f t="shared" si="53"/>
        <v/>
      </c>
      <c r="R186" s="97" t="str">
        <f t="shared" si="54"/>
        <v/>
      </c>
      <c r="S186" s="80">
        <f t="shared" si="55"/>
        <v>173</v>
      </c>
      <c r="T186" s="80"/>
      <c r="U186" s="229" t="str">
        <f t="shared" si="56"/>
        <v/>
      </c>
      <c r="V186" s="229" t="str">
        <f t="shared" si="57"/>
        <v/>
      </c>
      <c r="W186" s="229" t="str">
        <f t="shared" si="58"/>
        <v/>
      </c>
      <c r="X186" s="97" t="str">
        <f t="shared" si="59"/>
        <v/>
      </c>
    </row>
    <row r="187" spans="1:26" x14ac:dyDescent="0.2">
      <c r="A187" s="80">
        <f t="shared" si="40"/>
        <v>174</v>
      </c>
      <c r="B187" s="80"/>
      <c r="C187" s="229" t="str">
        <f t="shared" si="41"/>
        <v/>
      </c>
      <c r="D187" s="229" t="str">
        <f t="shared" si="42"/>
        <v/>
      </c>
      <c r="E187" s="229" t="str">
        <f t="shared" si="43"/>
        <v/>
      </c>
      <c r="F187" s="97" t="str">
        <f t="shared" si="44"/>
        <v/>
      </c>
      <c r="G187" s="80">
        <f t="shared" si="45"/>
        <v>174</v>
      </c>
      <c r="H187" s="80"/>
      <c r="I187" s="229" t="str">
        <f t="shared" si="46"/>
        <v/>
      </c>
      <c r="J187" s="229" t="str">
        <f t="shared" si="47"/>
        <v/>
      </c>
      <c r="K187" s="229" t="str">
        <f t="shared" si="48"/>
        <v/>
      </c>
      <c r="L187" s="97" t="str">
        <f t="shared" si="49"/>
        <v/>
      </c>
      <c r="M187" s="80">
        <f t="shared" si="50"/>
        <v>174</v>
      </c>
      <c r="N187" s="80"/>
      <c r="O187" s="229" t="str">
        <f t="shared" si="51"/>
        <v/>
      </c>
      <c r="P187" s="229" t="str">
        <f t="shared" si="52"/>
        <v/>
      </c>
      <c r="Q187" s="229" t="str">
        <f t="shared" si="53"/>
        <v/>
      </c>
      <c r="R187" s="97" t="str">
        <f t="shared" si="54"/>
        <v/>
      </c>
      <c r="S187" s="80">
        <f t="shared" si="55"/>
        <v>174</v>
      </c>
      <c r="T187" s="80"/>
      <c r="U187" s="229" t="str">
        <f t="shared" si="56"/>
        <v/>
      </c>
      <c r="V187" s="229" t="str">
        <f t="shared" si="57"/>
        <v/>
      </c>
      <c r="W187" s="229" t="str">
        <f t="shared" si="58"/>
        <v/>
      </c>
      <c r="X187" s="97" t="str">
        <f t="shared" si="59"/>
        <v/>
      </c>
    </row>
    <row r="188" spans="1:26" x14ac:dyDescent="0.2">
      <c r="A188" s="80">
        <f t="shared" si="40"/>
        <v>175</v>
      </c>
      <c r="B188" s="80"/>
      <c r="C188" s="229" t="str">
        <f t="shared" si="41"/>
        <v/>
      </c>
      <c r="D188" s="229" t="str">
        <f t="shared" si="42"/>
        <v/>
      </c>
      <c r="E188" s="229" t="str">
        <f t="shared" si="43"/>
        <v/>
      </c>
      <c r="F188" s="97" t="str">
        <f t="shared" si="44"/>
        <v/>
      </c>
      <c r="G188" s="80">
        <f t="shared" si="45"/>
        <v>175</v>
      </c>
      <c r="H188" s="80"/>
      <c r="I188" s="229" t="str">
        <f t="shared" si="46"/>
        <v/>
      </c>
      <c r="J188" s="229" t="str">
        <f t="shared" si="47"/>
        <v/>
      </c>
      <c r="K188" s="229" t="str">
        <f t="shared" si="48"/>
        <v/>
      </c>
      <c r="L188" s="97" t="str">
        <f t="shared" si="49"/>
        <v/>
      </c>
      <c r="M188" s="80">
        <f t="shared" si="50"/>
        <v>175</v>
      </c>
      <c r="N188" s="80"/>
      <c r="O188" s="229" t="str">
        <f t="shared" si="51"/>
        <v/>
      </c>
      <c r="P188" s="229" t="str">
        <f t="shared" si="52"/>
        <v/>
      </c>
      <c r="Q188" s="229" t="str">
        <f t="shared" si="53"/>
        <v/>
      </c>
      <c r="R188" s="97" t="str">
        <f t="shared" si="54"/>
        <v/>
      </c>
      <c r="S188" s="80">
        <f t="shared" si="55"/>
        <v>175</v>
      </c>
      <c r="T188" s="80"/>
      <c r="U188" s="229" t="str">
        <f t="shared" si="56"/>
        <v/>
      </c>
      <c r="V188" s="229" t="str">
        <f t="shared" si="57"/>
        <v/>
      </c>
      <c r="W188" s="229" t="str">
        <f t="shared" si="58"/>
        <v/>
      </c>
      <c r="X188" s="97" t="str">
        <f t="shared" si="59"/>
        <v/>
      </c>
    </row>
    <row r="189" spans="1:26" x14ac:dyDescent="0.2">
      <c r="A189" s="80">
        <f t="shared" si="40"/>
        <v>176</v>
      </c>
      <c r="B189" s="80"/>
      <c r="C189" s="229" t="str">
        <f t="shared" si="41"/>
        <v/>
      </c>
      <c r="D189" s="229" t="str">
        <f t="shared" si="42"/>
        <v/>
      </c>
      <c r="E189" s="229" t="str">
        <f t="shared" si="43"/>
        <v/>
      </c>
      <c r="F189" s="97" t="str">
        <f t="shared" si="44"/>
        <v/>
      </c>
      <c r="G189" s="80">
        <f t="shared" si="45"/>
        <v>176</v>
      </c>
      <c r="H189" s="80"/>
      <c r="I189" s="229" t="str">
        <f t="shared" si="46"/>
        <v/>
      </c>
      <c r="J189" s="229" t="str">
        <f t="shared" si="47"/>
        <v/>
      </c>
      <c r="K189" s="229" t="str">
        <f t="shared" si="48"/>
        <v/>
      </c>
      <c r="L189" s="97" t="str">
        <f t="shared" si="49"/>
        <v/>
      </c>
      <c r="M189" s="80">
        <f t="shared" si="50"/>
        <v>176</v>
      </c>
      <c r="N189" s="80"/>
      <c r="O189" s="229" t="str">
        <f t="shared" si="51"/>
        <v/>
      </c>
      <c r="P189" s="229" t="str">
        <f t="shared" si="52"/>
        <v/>
      </c>
      <c r="Q189" s="229" t="str">
        <f t="shared" si="53"/>
        <v/>
      </c>
      <c r="R189" s="97" t="str">
        <f t="shared" si="54"/>
        <v/>
      </c>
      <c r="S189" s="80">
        <f t="shared" si="55"/>
        <v>176</v>
      </c>
      <c r="T189" s="80"/>
      <c r="U189" s="229" t="str">
        <f t="shared" si="56"/>
        <v/>
      </c>
      <c r="V189" s="229" t="str">
        <f t="shared" si="57"/>
        <v/>
      </c>
      <c r="W189" s="229" t="str">
        <f t="shared" si="58"/>
        <v/>
      </c>
      <c r="X189" s="97" t="str">
        <f t="shared" si="59"/>
        <v/>
      </c>
    </row>
    <row r="190" spans="1:26" x14ac:dyDescent="0.2">
      <c r="A190" s="80">
        <f t="shared" si="40"/>
        <v>177</v>
      </c>
      <c r="B190" s="80"/>
      <c r="C190" s="229" t="str">
        <f t="shared" si="41"/>
        <v/>
      </c>
      <c r="D190" s="229" t="str">
        <f t="shared" si="42"/>
        <v/>
      </c>
      <c r="E190" s="229" t="str">
        <f t="shared" si="43"/>
        <v/>
      </c>
      <c r="F190" s="97" t="str">
        <f t="shared" si="44"/>
        <v/>
      </c>
      <c r="G190" s="80">
        <f t="shared" si="45"/>
        <v>177</v>
      </c>
      <c r="H190" s="80"/>
      <c r="I190" s="229" t="str">
        <f t="shared" si="46"/>
        <v/>
      </c>
      <c r="J190" s="229" t="str">
        <f t="shared" si="47"/>
        <v/>
      </c>
      <c r="K190" s="229" t="str">
        <f t="shared" si="48"/>
        <v/>
      </c>
      <c r="L190" s="97" t="str">
        <f t="shared" si="49"/>
        <v/>
      </c>
      <c r="M190" s="80">
        <f t="shared" si="50"/>
        <v>177</v>
      </c>
      <c r="N190" s="80"/>
      <c r="O190" s="229" t="str">
        <f t="shared" si="51"/>
        <v/>
      </c>
      <c r="P190" s="229" t="str">
        <f t="shared" si="52"/>
        <v/>
      </c>
      <c r="Q190" s="229" t="str">
        <f t="shared" si="53"/>
        <v/>
      </c>
      <c r="R190" s="97" t="str">
        <f t="shared" si="54"/>
        <v/>
      </c>
      <c r="S190" s="80">
        <f t="shared" si="55"/>
        <v>177</v>
      </c>
      <c r="T190" s="80"/>
      <c r="U190" s="229" t="str">
        <f t="shared" si="56"/>
        <v/>
      </c>
      <c r="V190" s="229" t="str">
        <f t="shared" si="57"/>
        <v/>
      </c>
      <c r="W190" s="229" t="str">
        <f t="shared" si="58"/>
        <v/>
      </c>
      <c r="X190" s="97" t="str">
        <f t="shared" si="59"/>
        <v/>
      </c>
    </row>
    <row r="191" spans="1:26" x14ac:dyDescent="0.2">
      <c r="A191" s="80">
        <f t="shared" si="40"/>
        <v>178</v>
      </c>
      <c r="B191" s="80"/>
      <c r="C191" s="229" t="str">
        <f t="shared" si="41"/>
        <v/>
      </c>
      <c r="D191" s="229" t="str">
        <f t="shared" si="42"/>
        <v/>
      </c>
      <c r="E191" s="229" t="str">
        <f t="shared" si="43"/>
        <v/>
      </c>
      <c r="F191" s="97" t="str">
        <f t="shared" si="44"/>
        <v/>
      </c>
      <c r="G191" s="80">
        <f t="shared" si="45"/>
        <v>178</v>
      </c>
      <c r="H191" s="80"/>
      <c r="I191" s="229" t="str">
        <f t="shared" si="46"/>
        <v/>
      </c>
      <c r="J191" s="229" t="str">
        <f t="shared" si="47"/>
        <v/>
      </c>
      <c r="K191" s="229" t="str">
        <f t="shared" si="48"/>
        <v/>
      </c>
      <c r="L191" s="97" t="str">
        <f t="shared" si="49"/>
        <v/>
      </c>
      <c r="M191" s="80">
        <f t="shared" si="50"/>
        <v>178</v>
      </c>
      <c r="N191" s="80"/>
      <c r="O191" s="229" t="str">
        <f t="shared" si="51"/>
        <v/>
      </c>
      <c r="P191" s="229" t="str">
        <f t="shared" si="52"/>
        <v/>
      </c>
      <c r="Q191" s="229" t="str">
        <f t="shared" si="53"/>
        <v/>
      </c>
      <c r="R191" s="97" t="str">
        <f t="shared" si="54"/>
        <v/>
      </c>
      <c r="S191" s="80">
        <f t="shared" si="55"/>
        <v>178</v>
      </c>
      <c r="T191" s="80"/>
      <c r="U191" s="229" t="str">
        <f t="shared" si="56"/>
        <v/>
      </c>
      <c r="V191" s="229" t="str">
        <f t="shared" si="57"/>
        <v/>
      </c>
      <c r="W191" s="229" t="str">
        <f t="shared" si="58"/>
        <v/>
      </c>
      <c r="X191" s="97" t="str">
        <f t="shared" si="59"/>
        <v/>
      </c>
    </row>
    <row r="192" spans="1:26" x14ac:dyDescent="0.2">
      <c r="A192" s="80">
        <f t="shared" si="40"/>
        <v>179</v>
      </c>
      <c r="B192" s="80"/>
      <c r="C192" s="229" t="str">
        <f t="shared" si="41"/>
        <v/>
      </c>
      <c r="D192" s="229" t="str">
        <f t="shared" si="42"/>
        <v/>
      </c>
      <c r="E192" s="229" t="str">
        <f t="shared" si="43"/>
        <v/>
      </c>
      <c r="F192" s="97" t="str">
        <f t="shared" si="44"/>
        <v/>
      </c>
      <c r="G192" s="80">
        <f t="shared" si="45"/>
        <v>179</v>
      </c>
      <c r="H192" s="80"/>
      <c r="I192" s="229" t="str">
        <f t="shared" si="46"/>
        <v/>
      </c>
      <c r="J192" s="229" t="str">
        <f t="shared" si="47"/>
        <v/>
      </c>
      <c r="K192" s="229" t="str">
        <f t="shared" si="48"/>
        <v/>
      </c>
      <c r="L192" s="97" t="str">
        <f t="shared" si="49"/>
        <v/>
      </c>
      <c r="M192" s="80">
        <f t="shared" si="50"/>
        <v>179</v>
      </c>
      <c r="N192" s="80"/>
      <c r="O192" s="229" t="str">
        <f t="shared" si="51"/>
        <v/>
      </c>
      <c r="P192" s="229" t="str">
        <f t="shared" si="52"/>
        <v/>
      </c>
      <c r="Q192" s="229" t="str">
        <f t="shared" si="53"/>
        <v/>
      </c>
      <c r="R192" s="97" t="str">
        <f t="shared" si="54"/>
        <v/>
      </c>
      <c r="S192" s="80">
        <f t="shared" si="55"/>
        <v>179</v>
      </c>
      <c r="T192" s="80"/>
      <c r="U192" s="229" t="str">
        <f t="shared" si="56"/>
        <v/>
      </c>
      <c r="V192" s="229" t="str">
        <f t="shared" si="57"/>
        <v/>
      </c>
      <c r="W192" s="229" t="str">
        <f t="shared" si="58"/>
        <v/>
      </c>
      <c r="X192" s="97" t="str">
        <f t="shared" si="59"/>
        <v/>
      </c>
    </row>
    <row r="193" spans="1:24" x14ac:dyDescent="0.2">
      <c r="A193" s="80">
        <f t="shared" si="40"/>
        <v>180</v>
      </c>
      <c r="B193" s="80"/>
      <c r="C193" s="229" t="str">
        <f t="shared" si="41"/>
        <v/>
      </c>
      <c r="D193" s="229" t="str">
        <f t="shared" si="42"/>
        <v/>
      </c>
      <c r="E193" s="229" t="str">
        <f t="shared" si="43"/>
        <v/>
      </c>
      <c r="F193" s="97" t="str">
        <f t="shared" si="44"/>
        <v/>
      </c>
      <c r="G193" s="80">
        <f t="shared" si="45"/>
        <v>180</v>
      </c>
      <c r="H193" s="80"/>
      <c r="I193" s="229" t="str">
        <f t="shared" si="46"/>
        <v/>
      </c>
      <c r="J193" s="229" t="str">
        <f t="shared" si="47"/>
        <v/>
      </c>
      <c r="K193" s="229" t="str">
        <f t="shared" si="48"/>
        <v/>
      </c>
      <c r="L193" s="97" t="str">
        <f t="shared" si="49"/>
        <v/>
      </c>
      <c r="M193" s="80">
        <f t="shared" si="50"/>
        <v>180</v>
      </c>
      <c r="N193" s="80"/>
      <c r="O193" s="229" t="str">
        <f t="shared" si="51"/>
        <v/>
      </c>
      <c r="P193" s="229" t="str">
        <f t="shared" si="52"/>
        <v/>
      </c>
      <c r="Q193" s="229" t="str">
        <f t="shared" si="53"/>
        <v/>
      </c>
      <c r="R193" s="97" t="str">
        <f t="shared" si="54"/>
        <v/>
      </c>
      <c r="S193" s="80">
        <f t="shared" si="55"/>
        <v>180</v>
      </c>
      <c r="T193" s="80"/>
      <c r="U193" s="229" t="str">
        <f t="shared" si="56"/>
        <v/>
      </c>
      <c r="V193" s="229" t="str">
        <f t="shared" si="57"/>
        <v/>
      </c>
      <c r="W193" s="229" t="str">
        <f t="shared" si="58"/>
        <v/>
      </c>
      <c r="X193" s="97" t="str">
        <f t="shared" si="59"/>
        <v/>
      </c>
    </row>
    <row r="194" spans="1:24" x14ac:dyDescent="0.2">
      <c r="A194" s="80">
        <f t="shared" si="40"/>
        <v>181</v>
      </c>
      <c r="B194" s="80"/>
      <c r="C194" s="229" t="str">
        <f t="shared" si="41"/>
        <v/>
      </c>
      <c r="D194" s="229" t="str">
        <f t="shared" si="42"/>
        <v/>
      </c>
      <c r="E194" s="229" t="str">
        <f t="shared" si="43"/>
        <v/>
      </c>
      <c r="F194" s="97" t="str">
        <f t="shared" si="44"/>
        <v/>
      </c>
      <c r="G194" s="80">
        <f t="shared" si="45"/>
        <v>181</v>
      </c>
      <c r="H194" s="80"/>
      <c r="I194" s="229" t="str">
        <f t="shared" si="46"/>
        <v/>
      </c>
      <c r="J194" s="229" t="str">
        <f t="shared" si="47"/>
        <v/>
      </c>
      <c r="K194" s="229" t="str">
        <f t="shared" si="48"/>
        <v/>
      </c>
      <c r="L194" s="97" t="str">
        <f t="shared" si="49"/>
        <v/>
      </c>
      <c r="M194" s="80">
        <f t="shared" si="50"/>
        <v>181</v>
      </c>
      <c r="N194" s="80"/>
      <c r="O194" s="229" t="str">
        <f t="shared" si="51"/>
        <v/>
      </c>
      <c r="P194" s="229" t="str">
        <f t="shared" si="52"/>
        <v/>
      </c>
      <c r="Q194" s="229" t="str">
        <f t="shared" si="53"/>
        <v/>
      </c>
      <c r="R194" s="97" t="str">
        <f t="shared" si="54"/>
        <v/>
      </c>
      <c r="S194" s="80">
        <f t="shared" si="55"/>
        <v>181</v>
      </c>
      <c r="T194" s="80"/>
      <c r="U194" s="229" t="str">
        <f t="shared" si="56"/>
        <v/>
      </c>
      <c r="V194" s="229" t="str">
        <f t="shared" si="57"/>
        <v/>
      </c>
      <c r="W194" s="229" t="str">
        <f t="shared" si="58"/>
        <v/>
      </c>
      <c r="X194" s="97" t="str">
        <f t="shared" si="59"/>
        <v/>
      </c>
    </row>
    <row r="195" spans="1:24" x14ac:dyDescent="0.2">
      <c r="A195" s="80">
        <f t="shared" si="40"/>
        <v>182</v>
      </c>
      <c r="B195" s="80"/>
      <c r="C195" s="229" t="str">
        <f t="shared" si="41"/>
        <v/>
      </c>
      <c r="D195" s="229" t="str">
        <f t="shared" si="42"/>
        <v/>
      </c>
      <c r="E195" s="229" t="str">
        <f t="shared" si="43"/>
        <v/>
      </c>
      <c r="F195" s="97" t="str">
        <f t="shared" si="44"/>
        <v/>
      </c>
      <c r="G195" s="80">
        <f t="shared" si="45"/>
        <v>182</v>
      </c>
      <c r="H195" s="80"/>
      <c r="I195" s="229" t="str">
        <f t="shared" si="46"/>
        <v/>
      </c>
      <c r="J195" s="229" t="str">
        <f t="shared" si="47"/>
        <v/>
      </c>
      <c r="K195" s="229" t="str">
        <f t="shared" si="48"/>
        <v/>
      </c>
      <c r="L195" s="97" t="str">
        <f t="shared" si="49"/>
        <v/>
      </c>
      <c r="M195" s="80">
        <f t="shared" si="50"/>
        <v>182</v>
      </c>
      <c r="N195" s="80"/>
      <c r="O195" s="229" t="str">
        <f t="shared" si="51"/>
        <v/>
      </c>
      <c r="P195" s="229" t="str">
        <f t="shared" si="52"/>
        <v/>
      </c>
      <c r="Q195" s="229" t="str">
        <f t="shared" si="53"/>
        <v/>
      </c>
      <c r="R195" s="97" t="str">
        <f t="shared" si="54"/>
        <v/>
      </c>
      <c r="S195" s="80">
        <f t="shared" si="55"/>
        <v>182</v>
      </c>
      <c r="T195" s="80"/>
      <c r="U195" s="229" t="str">
        <f t="shared" si="56"/>
        <v/>
      </c>
      <c r="V195" s="229" t="str">
        <f t="shared" si="57"/>
        <v/>
      </c>
      <c r="W195" s="229" t="str">
        <f t="shared" si="58"/>
        <v/>
      </c>
      <c r="X195" s="97" t="str">
        <f t="shared" si="59"/>
        <v/>
      </c>
    </row>
    <row r="196" spans="1:24" x14ac:dyDescent="0.2">
      <c r="A196" s="80">
        <f t="shared" si="40"/>
        <v>183</v>
      </c>
      <c r="B196" s="80"/>
      <c r="C196" s="229" t="str">
        <f t="shared" si="41"/>
        <v/>
      </c>
      <c r="D196" s="229" t="str">
        <f t="shared" si="42"/>
        <v/>
      </c>
      <c r="E196" s="229" t="str">
        <f t="shared" si="43"/>
        <v/>
      </c>
      <c r="F196" s="97" t="str">
        <f t="shared" si="44"/>
        <v/>
      </c>
      <c r="G196" s="80">
        <f t="shared" si="45"/>
        <v>183</v>
      </c>
      <c r="H196" s="80"/>
      <c r="I196" s="229" t="str">
        <f t="shared" si="46"/>
        <v/>
      </c>
      <c r="J196" s="229" t="str">
        <f t="shared" si="47"/>
        <v/>
      </c>
      <c r="K196" s="229" t="str">
        <f t="shared" si="48"/>
        <v/>
      </c>
      <c r="L196" s="97" t="str">
        <f t="shared" si="49"/>
        <v/>
      </c>
      <c r="M196" s="80">
        <f t="shared" si="50"/>
        <v>183</v>
      </c>
      <c r="N196" s="80"/>
      <c r="O196" s="229" t="str">
        <f t="shared" si="51"/>
        <v/>
      </c>
      <c r="P196" s="229" t="str">
        <f t="shared" si="52"/>
        <v/>
      </c>
      <c r="Q196" s="229" t="str">
        <f t="shared" si="53"/>
        <v/>
      </c>
      <c r="R196" s="97" t="str">
        <f t="shared" si="54"/>
        <v/>
      </c>
      <c r="S196" s="80">
        <f t="shared" si="55"/>
        <v>183</v>
      </c>
      <c r="T196" s="80"/>
      <c r="U196" s="229" t="str">
        <f t="shared" si="56"/>
        <v/>
      </c>
      <c r="V196" s="229" t="str">
        <f t="shared" si="57"/>
        <v/>
      </c>
      <c r="W196" s="229" t="str">
        <f t="shared" si="58"/>
        <v/>
      </c>
      <c r="X196" s="97" t="str">
        <f t="shared" si="59"/>
        <v/>
      </c>
    </row>
    <row r="197" spans="1:24" x14ac:dyDescent="0.2">
      <c r="A197" s="80">
        <f t="shared" si="40"/>
        <v>184</v>
      </c>
      <c r="B197" s="80"/>
      <c r="C197" s="229" t="str">
        <f t="shared" si="41"/>
        <v/>
      </c>
      <c r="D197" s="229" t="str">
        <f t="shared" si="42"/>
        <v/>
      </c>
      <c r="E197" s="229" t="str">
        <f t="shared" si="43"/>
        <v/>
      </c>
      <c r="F197" s="97" t="str">
        <f t="shared" si="44"/>
        <v/>
      </c>
      <c r="G197" s="80">
        <f t="shared" si="45"/>
        <v>184</v>
      </c>
      <c r="H197" s="80"/>
      <c r="I197" s="229" t="str">
        <f t="shared" si="46"/>
        <v/>
      </c>
      <c r="J197" s="229" t="str">
        <f t="shared" si="47"/>
        <v/>
      </c>
      <c r="K197" s="229" t="str">
        <f t="shared" si="48"/>
        <v/>
      </c>
      <c r="L197" s="97" t="str">
        <f t="shared" si="49"/>
        <v/>
      </c>
      <c r="M197" s="80">
        <f t="shared" si="50"/>
        <v>184</v>
      </c>
      <c r="N197" s="80"/>
      <c r="O197" s="229" t="str">
        <f t="shared" si="51"/>
        <v/>
      </c>
      <c r="P197" s="229" t="str">
        <f t="shared" si="52"/>
        <v/>
      </c>
      <c r="Q197" s="229" t="str">
        <f t="shared" si="53"/>
        <v/>
      </c>
      <c r="R197" s="97" t="str">
        <f t="shared" si="54"/>
        <v/>
      </c>
      <c r="S197" s="80">
        <f t="shared" si="55"/>
        <v>184</v>
      </c>
      <c r="T197" s="80"/>
      <c r="U197" s="229" t="str">
        <f t="shared" si="56"/>
        <v/>
      </c>
      <c r="V197" s="229" t="str">
        <f t="shared" si="57"/>
        <v/>
      </c>
      <c r="W197" s="229" t="str">
        <f t="shared" si="58"/>
        <v/>
      </c>
      <c r="X197" s="97" t="str">
        <f t="shared" si="59"/>
        <v/>
      </c>
    </row>
    <row r="198" spans="1:24" x14ac:dyDescent="0.2">
      <c r="A198" s="80">
        <f t="shared" si="40"/>
        <v>185</v>
      </c>
      <c r="B198" s="80"/>
      <c r="C198" s="229" t="str">
        <f t="shared" si="41"/>
        <v/>
      </c>
      <c r="D198" s="229" t="str">
        <f t="shared" si="42"/>
        <v/>
      </c>
      <c r="E198" s="229" t="str">
        <f t="shared" si="43"/>
        <v/>
      </c>
      <c r="F198" s="97" t="str">
        <f t="shared" si="44"/>
        <v/>
      </c>
      <c r="G198" s="80">
        <f t="shared" si="45"/>
        <v>185</v>
      </c>
      <c r="H198" s="80"/>
      <c r="I198" s="229" t="str">
        <f t="shared" si="46"/>
        <v/>
      </c>
      <c r="J198" s="229" t="str">
        <f t="shared" si="47"/>
        <v/>
      </c>
      <c r="K198" s="229" t="str">
        <f t="shared" si="48"/>
        <v/>
      </c>
      <c r="L198" s="97" t="str">
        <f t="shared" si="49"/>
        <v/>
      </c>
      <c r="M198" s="80">
        <f t="shared" si="50"/>
        <v>185</v>
      </c>
      <c r="N198" s="80"/>
      <c r="O198" s="229" t="str">
        <f t="shared" si="51"/>
        <v/>
      </c>
      <c r="P198" s="229" t="str">
        <f t="shared" si="52"/>
        <v/>
      </c>
      <c r="Q198" s="229" t="str">
        <f t="shared" si="53"/>
        <v/>
      </c>
      <c r="R198" s="97" t="str">
        <f t="shared" si="54"/>
        <v/>
      </c>
      <c r="S198" s="80">
        <f t="shared" si="55"/>
        <v>185</v>
      </c>
      <c r="T198" s="80"/>
      <c r="U198" s="229" t="str">
        <f t="shared" si="56"/>
        <v/>
      </c>
      <c r="V198" s="229" t="str">
        <f t="shared" si="57"/>
        <v/>
      </c>
      <c r="W198" s="229" t="str">
        <f t="shared" si="58"/>
        <v/>
      </c>
      <c r="X198" s="97" t="str">
        <f t="shared" si="59"/>
        <v/>
      </c>
    </row>
    <row r="199" spans="1:24" x14ac:dyDescent="0.2">
      <c r="A199" s="80">
        <f t="shared" si="40"/>
        <v>186</v>
      </c>
      <c r="B199" s="80"/>
      <c r="C199" s="229" t="str">
        <f t="shared" si="41"/>
        <v/>
      </c>
      <c r="D199" s="229" t="str">
        <f t="shared" si="42"/>
        <v/>
      </c>
      <c r="E199" s="229" t="str">
        <f t="shared" si="43"/>
        <v/>
      </c>
      <c r="F199" s="97" t="str">
        <f t="shared" si="44"/>
        <v/>
      </c>
      <c r="G199" s="80">
        <f t="shared" si="45"/>
        <v>186</v>
      </c>
      <c r="H199" s="80"/>
      <c r="I199" s="229" t="str">
        <f t="shared" si="46"/>
        <v/>
      </c>
      <c r="J199" s="229" t="str">
        <f t="shared" si="47"/>
        <v/>
      </c>
      <c r="K199" s="229" t="str">
        <f t="shared" si="48"/>
        <v/>
      </c>
      <c r="L199" s="97" t="str">
        <f t="shared" si="49"/>
        <v/>
      </c>
      <c r="M199" s="80">
        <f t="shared" si="50"/>
        <v>186</v>
      </c>
      <c r="N199" s="80"/>
      <c r="O199" s="229" t="str">
        <f t="shared" si="51"/>
        <v/>
      </c>
      <c r="P199" s="229" t="str">
        <f t="shared" si="52"/>
        <v/>
      </c>
      <c r="Q199" s="229" t="str">
        <f t="shared" si="53"/>
        <v/>
      </c>
      <c r="R199" s="97" t="str">
        <f t="shared" si="54"/>
        <v/>
      </c>
      <c r="S199" s="80">
        <f t="shared" si="55"/>
        <v>186</v>
      </c>
      <c r="T199" s="80"/>
      <c r="U199" s="229" t="str">
        <f t="shared" si="56"/>
        <v/>
      </c>
      <c r="V199" s="229" t="str">
        <f t="shared" si="57"/>
        <v/>
      </c>
      <c r="W199" s="229" t="str">
        <f t="shared" si="58"/>
        <v/>
      </c>
      <c r="X199" s="97" t="str">
        <f t="shared" si="59"/>
        <v/>
      </c>
    </row>
    <row r="200" spans="1:24" x14ac:dyDescent="0.2">
      <c r="A200" s="80">
        <f t="shared" si="40"/>
        <v>187</v>
      </c>
      <c r="B200" s="80"/>
      <c r="C200" s="229" t="str">
        <f t="shared" si="41"/>
        <v/>
      </c>
      <c r="D200" s="229" t="str">
        <f t="shared" si="42"/>
        <v/>
      </c>
      <c r="E200" s="229" t="str">
        <f t="shared" si="43"/>
        <v/>
      </c>
      <c r="F200" s="97" t="str">
        <f t="shared" si="44"/>
        <v/>
      </c>
      <c r="G200" s="80">
        <f t="shared" si="45"/>
        <v>187</v>
      </c>
      <c r="H200" s="80"/>
      <c r="I200" s="229" t="str">
        <f t="shared" si="46"/>
        <v/>
      </c>
      <c r="J200" s="229" t="str">
        <f t="shared" si="47"/>
        <v/>
      </c>
      <c r="K200" s="229" t="str">
        <f t="shared" si="48"/>
        <v/>
      </c>
      <c r="L200" s="97" t="str">
        <f t="shared" si="49"/>
        <v/>
      </c>
      <c r="M200" s="80">
        <f t="shared" si="50"/>
        <v>187</v>
      </c>
      <c r="N200" s="80"/>
      <c r="O200" s="229" t="str">
        <f t="shared" si="51"/>
        <v/>
      </c>
      <c r="P200" s="229" t="str">
        <f t="shared" si="52"/>
        <v/>
      </c>
      <c r="Q200" s="229" t="str">
        <f t="shared" si="53"/>
        <v/>
      </c>
      <c r="R200" s="97" t="str">
        <f t="shared" si="54"/>
        <v/>
      </c>
      <c r="S200" s="80">
        <f t="shared" si="55"/>
        <v>187</v>
      </c>
      <c r="T200" s="80"/>
      <c r="U200" s="229" t="str">
        <f t="shared" si="56"/>
        <v/>
      </c>
      <c r="V200" s="229" t="str">
        <f t="shared" si="57"/>
        <v/>
      </c>
      <c r="W200" s="229" t="str">
        <f t="shared" si="58"/>
        <v/>
      </c>
      <c r="X200" s="97" t="str">
        <f t="shared" si="59"/>
        <v/>
      </c>
    </row>
    <row r="201" spans="1:24" x14ac:dyDescent="0.2">
      <c r="A201" s="80">
        <f t="shared" si="40"/>
        <v>188</v>
      </c>
      <c r="B201" s="80"/>
      <c r="C201" s="229" t="str">
        <f t="shared" si="41"/>
        <v/>
      </c>
      <c r="D201" s="229" t="str">
        <f t="shared" si="42"/>
        <v/>
      </c>
      <c r="E201" s="229" t="str">
        <f t="shared" si="43"/>
        <v/>
      </c>
      <c r="F201" s="97" t="str">
        <f t="shared" si="44"/>
        <v/>
      </c>
      <c r="G201" s="80">
        <f t="shared" si="45"/>
        <v>188</v>
      </c>
      <c r="H201" s="80"/>
      <c r="I201" s="229" t="str">
        <f t="shared" si="46"/>
        <v/>
      </c>
      <c r="J201" s="229" t="str">
        <f t="shared" si="47"/>
        <v/>
      </c>
      <c r="K201" s="229" t="str">
        <f t="shared" si="48"/>
        <v/>
      </c>
      <c r="L201" s="97" t="str">
        <f t="shared" si="49"/>
        <v/>
      </c>
      <c r="M201" s="80">
        <f t="shared" si="50"/>
        <v>188</v>
      </c>
      <c r="N201" s="80"/>
      <c r="O201" s="229" t="str">
        <f t="shared" si="51"/>
        <v/>
      </c>
      <c r="P201" s="229" t="str">
        <f t="shared" si="52"/>
        <v/>
      </c>
      <c r="Q201" s="229" t="str">
        <f t="shared" si="53"/>
        <v/>
      </c>
      <c r="R201" s="97" t="str">
        <f t="shared" si="54"/>
        <v/>
      </c>
      <c r="S201" s="80">
        <f t="shared" si="55"/>
        <v>188</v>
      </c>
      <c r="T201" s="80"/>
      <c r="U201" s="229" t="str">
        <f t="shared" si="56"/>
        <v/>
      </c>
      <c r="V201" s="229" t="str">
        <f t="shared" si="57"/>
        <v/>
      </c>
      <c r="W201" s="229" t="str">
        <f t="shared" si="58"/>
        <v/>
      </c>
      <c r="X201" s="97" t="str">
        <f t="shared" si="59"/>
        <v/>
      </c>
    </row>
    <row r="202" spans="1:24" x14ac:dyDescent="0.2">
      <c r="A202" s="80">
        <f t="shared" si="40"/>
        <v>189</v>
      </c>
      <c r="B202" s="80"/>
      <c r="C202" s="229" t="str">
        <f t="shared" si="41"/>
        <v/>
      </c>
      <c r="D202" s="229" t="str">
        <f t="shared" si="42"/>
        <v/>
      </c>
      <c r="E202" s="229" t="str">
        <f t="shared" si="43"/>
        <v/>
      </c>
      <c r="F202" s="97" t="str">
        <f t="shared" si="44"/>
        <v/>
      </c>
      <c r="G202" s="80">
        <f t="shared" si="45"/>
        <v>189</v>
      </c>
      <c r="H202" s="80"/>
      <c r="I202" s="229" t="str">
        <f t="shared" si="46"/>
        <v/>
      </c>
      <c r="J202" s="229" t="str">
        <f t="shared" si="47"/>
        <v/>
      </c>
      <c r="K202" s="229" t="str">
        <f t="shared" si="48"/>
        <v/>
      </c>
      <c r="L202" s="97" t="str">
        <f t="shared" si="49"/>
        <v/>
      </c>
      <c r="M202" s="80">
        <f t="shared" si="50"/>
        <v>189</v>
      </c>
      <c r="N202" s="80"/>
      <c r="O202" s="229" t="str">
        <f t="shared" si="51"/>
        <v/>
      </c>
      <c r="P202" s="229" t="str">
        <f t="shared" si="52"/>
        <v/>
      </c>
      <c r="Q202" s="229" t="str">
        <f t="shared" si="53"/>
        <v/>
      </c>
      <c r="R202" s="97" t="str">
        <f t="shared" si="54"/>
        <v/>
      </c>
      <c r="S202" s="80">
        <f t="shared" si="55"/>
        <v>189</v>
      </c>
      <c r="T202" s="80"/>
      <c r="U202" s="229" t="str">
        <f t="shared" si="56"/>
        <v/>
      </c>
      <c r="V202" s="229" t="str">
        <f t="shared" si="57"/>
        <v/>
      </c>
      <c r="W202" s="229" t="str">
        <f t="shared" si="58"/>
        <v/>
      </c>
      <c r="X202" s="97" t="str">
        <f t="shared" si="59"/>
        <v/>
      </c>
    </row>
    <row r="203" spans="1:24" x14ac:dyDescent="0.2">
      <c r="A203" s="80">
        <f t="shared" si="40"/>
        <v>190</v>
      </c>
      <c r="B203" s="80"/>
      <c r="C203" s="229" t="str">
        <f t="shared" si="41"/>
        <v/>
      </c>
      <c r="D203" s="229" t="str">
        <f t="shared" si="42"/>
        <v/>
      </c>
      <c r="E203" s="229" t="str">
        <f t="shared" si="43"/>
        <v/>
      </c>
      <c r="F203" s="97" t="str">
        <f t="shared" si="44"/>
        <v/>
      </c>
      <c r="G203" s="80">
        <f t="shared" si="45"/>
        <v>190</v>
      </c>
      <c r="H203" s="80"/>
      <c r="I203" s="229" t="str">
        <f t="shared" si="46"/>
        <v/>
      </c>
      <c r="J203" s="229" t="str">
        <f t="shared" si="47"/>
        <v/>
      </c>
      <c r="K203" s="229" t="str">
        <f t="shared" si="48"/>
        <v/>
      </c>
      <c r="L203" s="97" t="str">
        <f t="shared" si="49"/>
        <v/>
      </c>
      <c r="M203" s="80">
        <f t="shared" si="50"/>
        <v>190</v>
      </c>
      <c r="N203" s="80"/>
      <c r="O203" s="229" t="str">
        <f t="shared" si="51"/>
        <v/>
      </c>
      <c r="P203" s="229" t="str">
        <f t="shared" si="52"/>
        <v/>
      </c>
      <c r="Q203" s="229" t="str">
        <f t="shared" si="53"/>
        <v/>
      </c>
      <c r="R203" s="97" t="str">
        <f t="shared" si="54"/>
        <v/>
      </c>
      <c r="S203" s="80">
        <f t="shared" si="55"/>
        <v>190</v>
      </c>
      <c r="T203" s="80"/>
      <c r="U203" s="229" t="str">
        <f t="shared" si="56"/>
        <v/>
      </c>
      <c r="V203" s="229" t="str">
        <f t="shared" si="57"/>
        <v/>
      </c>
      <c r="W203" s="229" t="str">
        <f t="shared" si="58"/>
        <v/>
      </c>
      <c r="X203" s="97" t="str">
        <f t="shared" si="59"/>
        <v/>
      </c>
    </row>
    <row r="204" spans="1:24" x14ac:dyDescent="0.2">
      <c r="A204" s="80">
        <f t="shared" si="40"/>
        <v>191</v>
      </c>
      <c r="B204" s="80"/>
      <c r="C204" s="229" t="str">
        <f t="shared" si="41"/>
        <v/>
      </c>
      <c r="D204" s="229" t="str">
        <f t="shared" si="42"/>
        <v/>
      </c>
      <c r="E204" s="229" t="str">
        <f t="shared" si="43"/>
        <v/>
      </c>
      <c r="F204" s="97" t="str">
        <f t="shared" si="44"/>
        <v/>
      </c>
      <c r="G204" s="80">
        <f t="shared" si="45"/>
        <v>191</v>
      </c>
      <c r="H204" s="80"/>
      <c r="I204" s="229" t="str">
        <f t="shared" si="46"/>
        <v/>
      </c>
      <c r="J204" s="229" t="str">
        <f t="shared" si="47"/>
        <v/>
      </c>
      <c r="K204" s="229" t="str">
        <f t="shared" si="48"/>
        <v/>
      </c>
      <c r="L204" s="97" t="str">
        <f t="shared" si="49"/>
        <v/>
      </c>
      <c r="M204" s="80">
        <f t="shared" si="50"/>
        <v>191</v>
      </c>
      <c r="N204" s="80"/>
      <c r="O204" s="229" t="str">
        <f t="shared" si="51"/>
        <v/>
      </c>
      <c r="P204" s="229" t="str">
        <f t="shared" si="52"/>
        <v/>
      </c>
      <c r="Q204" s="229" t="str">
        <f t="shared" si="53"/>
        <v/>
      </c>
      <c r="R204" s="97" t="str">
        <f t="shared" si="54"/>
        <v/>
      </c>
      <c r="S204" s="80">
        <f t="shared" si="55"/>
        <v>191</v>
      </c>
      <c r="T204" s="80"/>
      <c r="U204" s="229" t="str">
        <f t="shared" si="56"/>
        <v/>
      </c>
      <c r="V204" s="229" t="str">
        <f t="shared" si="57"/>
        <v/>
      </c>
      <c r="W204" s="229" t="str">
        <f t="shared" si="58"/>
        <v/>
      </c>
      <c r="X204" s="97" t="str">
        <f t="shared" si="59"/>
        <v/>
      </c>
    </row>
    <row r="205" spans="1:24" x14ac:dyDescent="0.2">
      <c r="A205" s="80">
        <f t="shared" si="40"/>
        <v>192</v>
      </c>
      <c r="B205" s="80"/>
      <c r="C205" s="229" t="str">
        <f t="shared" si="41"/>
        <v/>
      </c>
      <c r="D205" s="229" t="str">
        <f t="shared" si="42"/>
        <v/>
      </c>
      <c r="E205" s="229" t="str">
        <f t="shared" si="43"/>
        <v/>
      </c>
      <c r="F205" s="97" t="str">
        <f t="shared" si="44"/>
        <v/>
      </c>
      <c r="G205" s="80">
        <f t="shared" si="45"/>
        <v>192</v>
      </c>
      <c r="H205" s="80"/>
      <c r="I205" s="229" t="str">
        <f t="shared" si="46"/>
        <v/>
      </c>
      <c r="J205" s="229" t="str">
        <f t="shared" si="47"/>
        <v/>
      </c>
      <c r="K205" s="229" t="str">
        <f t="shared" si="48"/>
        <v/>
      </c>
      <c r="L205" s="97" t="str">
        <f t="shared" si="49"/>
        <v/>
      </c>
      <c r="M205" s="80">
        <f t="shared" si="50"/>
        <v>192</v>
      </c>
      <c r="N205" s="80"/>
      <c r="O205" s="229" t="str">
        <f t="shared" si="51"/>
        <v/>
      </c>
      <c r="P205" s="229" t="str">
        <f t="shared" si="52"/>
        <v/>
      </c>
      <c r="Q205" s="229" t="str">
        <f t="shared" si="53"/>
        <v/>
      </c>
      <c r="R205" s="97" t="str">
        <f t="shared" si="54"/>
        <v/>
      </c>
      <c r="S205" s="80">
        <f t="shared" si="55"/>
        <v>192</v>
      </c>
      <c r="T205" s="80"/>
      <c r="U205" s="229" t="str">
        <f t="shared" si="56"/>
        <v/>
      </c>
      <c r="V205" s="229" t="str">
        <f t="shared" si="57"/>
        <v/>
      </c>
      <c r="W205" s="229" t="str">
        <f t="shared" si="58"/>
        <v/>
      </c>
      <c r="X205" s="97" t="str">
        <f t="shared" si="59"/>
        <v/>
      </c>
    </row>
    <row r="206" spans="1:24" x14ac:dyDescent="0.2">
      <c r="A206" s="80">
        <f t="shared" si="40"/>
        <v>193</v>
      </c>
      <c r="B206" s="80"/>
      <c r="C206" s="229" t="str">
        <f t="shared" si="41"/>
        <v/>
      </c>
      <c r="D206" s="229" t="str">
        <f t="shared" si="42"/>
        <v/>
      </c>
      <c r="E206" s="229" t="str">
        <f t="shared" si="43"/>
        <v/>
      </c>
      <c r="F206" s="97" t="str">
        <f t="shared" si="44"/>
        <v/>
      </c>
      <c r="G206" s="80">
        <f t="shared" si="45"/>
        <v>193</v>
      </c>
      <c r="H206" s="80"/>
      <c r="I206" s="229" t="str">
        <f t="shared" si="46"/>
        <v/>
      </c>
      <c r="J206" s="229" t="str">
        <f t="shared" si="47"/>
        <v/>
      </c>
      <c r="K206" s="229" t="str">
        <f t="shared" si="48"/>
        <v/>
      </c>
      <c r="L206" s="97" t="str">
        <f t="shared" si="49"/>
        <v/>
      </c>
      <c r="M206" s="80">
        <f t="shared" si="50"/>
        <v>193</v>
      </c>
      <c r="N206" s="80"/>
      <c r="O206" s="229" t="str">
        <f t="shared" si="51"/>
        <v/>
      </c>
      <c r="P206" s="229" t="str">
        <f t="shared" si="52"/>
        <v/>
      </c>
      <c r="Q206" s="229" t="str">
        <f t="shared" si="53"/>
        <v/>
      </c>
      <c r="R206" s="97" t="str">
        <f t="shared" si="54"/>
        <v/>
      </c>
      <c r="S206" s="80">
        <f t="shared" si="55"/>
        <v>193</v>
      </c>
      <c r="T206" s="80"/>
      <c r="U206" s="229" t="str">
        <f t="shared" si="56"/>
        <v/>
      </c>
      <c r="V206" s="229" t="str">
        <f t="shared" si="57"/>
        <v/>
      </c>
      <c r="W206" s="229" t="str">
        <f t="shared" si="58"/>
        <v/>
      </c>
      <c r="X206" s="97" t="str">
        <f t="shared" si="59"/>
        <v/>
      </c>
    </row>
    <row r="207" spans="1:24" x14ac:dyDescent="0.2">
      <c r="A207" s="80">
        <f t="shared" ref="A207:A270" si="60">IF(A206&lt;D$8*12,A206+1,"")</f>
        <v>194</v>
      </c>
      <c r="B207" s="80"/>
      <c r="C207" s="229" t="str">
        <f t="shared" ref="C207:C270" si="61">IF(F206=0,"",IF($A207&lt;=D$8*12,C206,""))</f>
        <v/>
      </c>
      <c r="D207" s="229" t="str">
        <f t="shared" ref="D207:D270" si="62">IF(C207="","",C207-E207)</f>
        <v/>
      </c>
      <c r="E207" s="229" t="str">
        <f t="shared" ref="E207:E270" si="63">IF(C207="","",F206*D$7/12)</f>
        <v/>
      </c>
      <c r="F207" s="97" t="str">
        <f t="shared" ref="F207:F270" si="64">IF(D$6=0,"",IF($A207&gt;D$8*12,"",D$6+CUMPRINC(D$7/12,D$8*12,D$6,1,$A207,0)))</f>
        <v/>
      </c>
      <c r="G207" s="80">
        <f t="shared" ref="G207:G270" si="65">IF(G206&lt;J$8*12,G206+1,"")</f>
        <v>194</v>
      </c>
      <c r="H207" s="80"/>
      <c r="I207" s="229" t="str">
        <f t="shared" ref="I207:I270" si="66">IF(L206=0,"",IF($A207&lt;=J$8*12,I206,""))</f>
        <v/>
      </c>
      <c r="J207" s="229" t="str">
        <f t="shared" ref="J207:J270" si="67">IF(I207="","",I207-K207)</f>
        <v/>
      </c>
      <c r="K207" s="229" t="str">
        <f t="shared" ref="K207:K270" si="68">IF(I207="","",L206*J$7/12)</f>
        <v/>
      </c>
      <c r="L207" s="97" t="str">
        <f t="shared" ref="L207:L270" si="69">IF(J$6=0,"",IF($A207&gt;J$8*12,"",J$6+CUMPRINC(J$7/12,J$8*12,J$6,1,$A207,0)))</f>
        <v/>
      </c>
      <c r="M207" s="80">
        <f t="shared" ref="M207:M270" si="70">IF(M206&lt;P$8*12,M206+1,"")</f>
        <v>194</v>
      </c>
      <c r="N207" s="80"/>
      <c r="O207" s="229" t="str">
        <f t="shared" ref="O207:O270" si="71">IF(R206=0,"",IF($A207&lt;=P$8*12,O206,""))</f>
        <v/>
      </c>
      <c r="P207" s="229" t="str">
        <f t="shared" ref="P207:P270" si="72">IF(O207="","",O207-Q207)</f>
        <v/>
      </c>
      <c r="Q207" s="229" t="str">
        <f t="shared" ref="Q207:Q270" si="73">IF(O207="","",R206*P$7/12)</f>
        <v/>
      </c>
      <c r="R207" s="97" t="str">
        <f t="shared" ref="R207:R270" si="74">IF(P$6=0,"",IF($A207&gt;P$8*12,"",P$6+CUMPRINC(P$7/12,P$8*12,P$6,1,$A207,0)))</f>
        <v/>
      </c>
      <c r="S207" s="80">
        <f t="shared" ref="S207:S270" si="75">IF(S206&lt;V$8*12,S206+1,"")</f>
        <v>194</v>
      </c>
      <c r="T207" s="80"/>
      <c r="U207" s="229" t="str">
        <f t="shared" ref="U207:U270" si="76">IF(X206=0,"",IF($A207&lt;=V$8*12,U206,""))</f>
        <v/>
      </c>
      <c r="V207" s="229" t="str">
        <f t="shared" ref="V207:V270" si="77">IF(U207="","",U207-W207)</f>
        <v/>
      </c>
      <c r="W207" s="229" t="str">
        <f t="shared" ref="W207:W270" si="78">IF(U207="","",X206*V$7/12)</f>
        <v/>
      </c>
      <c r="X207" s="97" t="str">
        <f t="shared" ref="X207:X270" si="79">IF(V$6=0,"",IF($A207&gt;V$8*12,"",V$6+CUMPRINC(V$7/12,V$8*12,V$6,1,$A207,0)))</f>
        <v/>
      </c>
    </row>
    <row r="208" spans="1:24" x14ac:dyDescent="0.2">
      <c r="A208" s="80">
        <f t="shared" si="60"/>
        <v>195</v>
      </c>
      <c r="B208" s="80"/>
      <c r="C208" s="229" t="str">
        <f t="shared" si="61"/>
        <v/>
      </c>
      <c r="D208" s="229" t="str">
        <f t="shared" si="62"/>
        <v/>
      </c>
      <c r="E208" s="229" t="str">
        <f t="shared" si="63"/>
        <v/>
      </c>
      <c r="F208" s="97" t="str">
        <f t="shared" si="64"/>
        <v/>
      </c>
      <c r="G208" s="80">
        <f t="shared" si="65"/>
        <v>195</v>
      </c>
      <c r="H208" s="80"/>
      <c r="I208" s="229" t="str">
        <f t="shared" si="66"/>
        <v/>
      </c>
      <c r="J208" s="229" t="str">
        <f t="shared" si="67"/>
        <v/>
      </c>
      <c r="K208" s="229" t="str">
        <f t="shared" si="68"/>
        <v/>
      </c>
      <c r="L208" s="97" t="str">
        <f t="shared" si="69"/>
        <v/>
      </c>
      <c r="M208" s="80">
        <f t="shared" si="70"/>
        <v>195</v>
      </c>
      <c r="N208" s="80"/>
      <c r="O208" s="229" t="str">
        <f t="shared" si="71"/>
        <v/>
      </c>
      <c r="P208" s="229" t="str">
        <f t="shared" si="72"/>
        <v/>
      </c>
      <c r="Q208" s="229" t="str">
        <f t="shared" si="73"/>
        <v/>
      </c>
      <c r="R208" s="97" t="str">
        <f t="shared" si="74"/>
        <v/>
      </c>
      <c r="S208" s="80">
        <f t="shared" si="75"/>
        <v>195</v>
      </c>
      <c r="T208" s="80"/>
      <c r="U208" s="229" t="str">
        <f t="shared" si="76"/>
        <v/>
      </c>
      <c r="V208" s="229" t="str">
        <f t="shared" si="77"/>
        <v/>
      </c>
      <c r="W208" s="229" t="str">
        <f t="shared" si="78"/>
        <v/>
      </c>
      <c r="X208" s="97" t="str">
        <f t="shared" si="79"/>
        <v/>
      </c>
    </row>
    <row r="209" spans="1:24" x14ac:dyDescent="0.2">
      <c r="A209" s="80">
        <f t="shared" si="60"/>
        <v>196</v>
      </c>
      <c r="B209" s="80"/>
      <c r="C209" s="229" t="str">
        <f t="shared" si="61"/>
        <v/>
      </c>
      <c r="D209" s="229" t="str">
        <f t="shared" si="62"/>
        <v/>
      </c>
      <c r="E209" s="229" t="str">
        <f t="shared" si="63"/>
        <v/>
      </c>
      <c r="F209" s="97" t="str">
        <f t="shared" si="64"/>
        <v/>
      </c>
      <c r="G209" s="80">
        <f t="shared" si="65"/>
        <v>196</v>
      </c>
      <c r="H209" s="80"/>
      <c r="I209" s="229" t="str">
        <f t="shared" si="66"/>
        <v/>
      </c>
      <c r="J209" s="229" t="str">
        <f t="shared" si="67"/>
        <v/>
      </c>
      <c r="K209" s="229" t="str">
        <f t="shared" si="68"/>
        <v/>
      </c>
      <c r="L209" s="97" t="str">
        <f t="shared" si="69"/>
        <v/>
      </c>
      <c r="M209" s="80">
        <f t="shared" si="70"/>
        <v>196</v>
      </c>
      <c r="N209" s="80"/>
      <c r="O209" s="229" t="str">
        <f t="shared" si="71"/>
        <v/>
      </c>
      <c r="P209" s="229" t="str">
        <f t="shared" si="72"/>
        <v/>
      </c>
      <c r="Q209" s="229" t="str">
        <f t="shared" si="73"/>
        <v/>
      </c>
      <c r="R209" s="97" t="str">
        <f t="shared" si="74"/>
        <v/>
      </c>
      <c r="S209" s="80">
        <f t="shared" si="75"/>
        <v>196</v>
      </c>
      <c r="T209" s="80"/>
      <c r="U209" s="229" t="str">
        <f t="shared" si="76"/>
        <v/>
      </c>
      <c r="V209" s="229" t="str">
        <f t="shared" si="77"/>
        <v/>
      </c>
      <c r="W209" s="229" t="str">
        <f t="shared" si="78"/>
        <v/>
      </c>
      <c r="X209" s="97" t="str">
        <f t="shared" si="79"/>
        <v/>
      </c>
    </row>
    <row r="210" spans="1:24" x14ac:dyDescent="0.2">
      <c r="A210" s="80">
        <f t="shared" si="60"/>
        <v>197</v>
      </c>
      <c r="B210" s="80"/>
      <c r="C210" s="229" t="str">
        <f t="shared" si="61"/>
        <v/>
      </c>
      <c r="D210" s="229" t="str">
        <f t="shared" si="62"/>
        <v/>
      </c>
      <c r="E210" s="229" t="str">
        <f t="shared" si="63"/>
        <v/>
      </c>
      <c r="F210" s="97" t="str">
        <f t="shared" si="64"/>
        <v/>
      </c>
      <c r="G210" s="80">
        <f t="shared" si="65"/>
        <v>197</v>
      </c>
      <c r="H210" s="80"/>
      <c r="I210" s="229" t="str">
        <f t="shared" si="66"/>
        <v/>
      </c>
      <c r="J210" s="229" t="str">
        <f t="shared" si="67"/>
        <v/>
      </c>
      <c r="K210" s="229" t="str">
        <f t="shared" si="68"/>
        <v/>
      </c>
      <c r="L210" s="97" t="str">
        <f t="shared" si="69"/>
        <v/>
      </c>
      <c r="M210" s="80">
        <f t="shared" si="70"/>
        <v>197</v>
      </c>
      <c r="N210" s="80"/>
      <c r="O210" s="229" t="str">
        <f t="shared" si="71"/>
        <v/>
      </c>
      <c r="P210" s="229" t="str">
        <f t="shared" si="72"/>
        <v/>
      </c>
      <c r="Q210" s="229" t="str">
        <f t="shared" si="73"/>
        <v/>
      </c>
      <c r="R210" s="97" t="str">
        <f t="shared" si="74"/>
        <v/>
      </c>
      <c r="S210" s="80">
        <f t="shared" si="75"/>
        <v>197</v>
      </c>
      <c r="T210" s="80"/>
      <c r="U210" s="229" t="str">
        <f t="shared" si="76"/>
        <v/>
      </c>
      <c r="V210" s="229" t="str">
        <f t="shared" si="77"/>
        <v/>
      </c>
      <c r="W210" s="229" t="str">
        <f t="shared" si="78"/>
        <v/>
      </c>
      <c r="X210" s="97" t="str">
        <f t="shared" si="79"/>
        <v/>
      </c>
    </row>
    <row r="211" spans="1:24" x14ac:dyDescent="0.2">
      <c r="A211" s="80">
        <f t="shared" si="60"/>
        <v>198</v>
      </c>
      <c r="B211" s="80"/>
      <c r="C211" s="229" t="str">
        <f t="shared" si="61"/>
        <v/>
      </c>
      <c r="D211" s="229" t="str">
        <f t="shared" si="62"/>
        <v/>
      </c>
      <c r="E211" s="229" t="str">
        <f t="shared" si="63"/>
        <v/>
      </c>
      <c r="F211" s="97" t="str">
        <f t="shared" si="64"/>
        <v/>
      </c>
      <c r="G211" s="80">
        <f t="shared" si="65"/>
        <v>198</v>
      </c>
      <c r="H211" s="80"/>
      <c r="I211" s="229" t="str">
        <f t="shared" si="66"/>
        <v/>
      </c>
      <c r="J211" s="229" t="str">
        <f t="shared" si="67"/>
        <v/>
      </c>
      <c r="K211" s="229" t="str">
        <f t="shared" si="68"/>
        <v/>
      </c>
      <c r="L211" s="97" t="str">
        <f t="shared" si="69"/>
        <v/>
      </c>
      <c r="M211" s="80">
        <f t="shared" si="70"/>
        <v>198</v>
      </c>
      <c r="N211" s="80"/>
      <c r="O211" s="229" t="str">
        <f t="shared" si="71"/>
        <v/>
      </c>
      <c r="P211" s="229" t="str">
        <f t="shared" si="72"/>
        <v/>
      </c>
      <c r="Q211" s="229" t="str">
        <f t="shared" si="73"/>
        <v/>
      </c>
      <c r="R211" s="97" t="str">
        <f t="shared" si="74"/>
        <v/>
      </c>
      <c r="S211" s="80">
        <f t="shared" si="75"/>
        <v>198</v>
      </c>
      <c r="T211" s="80"/>
      <c r="U211" s="229" t="str">
        <f t="shared" si="76"/>
        <v/>
      </c>
      <c r="V211" s="229" t="str">
        <f t="shared" si="77"/>
        <v/>
      </c>
      <c r="W211" s="229" t="str">
        <f t="shared" si="78"/>
        <v/>
      </c>
      <c r="X211" s="97" t="str">
        <f t="shared" si="79"/>
        <v/>
      </c>
    </row>
    <row r="212" spans="1:24" x14ac:dyDescent="0.2">
      <c r="A212" s="80">
        <f t="shared" si="60"/>
        <v>199</v>
      </c>
      <c r="B212" s="80"/>
      <c r="C212" s="229" t="str">
        <f t="shared" si="61"/>
        <v/>
      </c>
      <c r="D212" s="229" t="str">
        <f t="shared" si="62"/>
        <v/>
      </c>
      <c r="E212" s="229" t="str">
        <f t="shared" si="63"/>
        <v/>
      </c>
      <c r="F212" s="97" t="str">
        <f t="shared" si="64"/>
        <v/>
      </c>
      <c r="G212" s="80">
        <f t="shared" si="65"/>
        <v>199</v>
      </c>
      <c r="H212" s="80"/>
      <c r="I212" s="229" t="str">
        <f t="shared" si="66"/>
        <v/>
      </c>
      <c r="J212" s="229" t="str">
        <f t="shared" si="67"/>
        <v/>
      </c>
      <c r="K212" s="229" t="str">
        <f t="shared" si="68"/>
        <v/>
      </c>
      <c r="L212" s="97" t="str">
        <f t="shared" si="69"/>
        <v/>
      </c>
      <c r="M212" s="80">
        <f t="shared" si="70"/>
        <v>199</v>
      </c>
      <c r="N212" s="80"/>
      <c r="O212" s="229" t="str">
        <f t="shared" si="71"/>
        <v/>
      </c>
      <c r="P212" s="229" t="str">
        <f t="shared" si="72"/>
        <v/>
      </c>
      <c r="Q212" s="229" t="str">
        <f t="shared" si="73"/>
        <v/>
      </c>
      <c r="R212" s="97" t="str">
        <f t="shared" si="74"/>
        <v/>
      </c>
      <c r="S212" s="80">
        <f t="shared" si="75"/>
        <v>199</v>
      </c>
      <c r="T212" s="80"/>
      <c r="U212" s="229" t="str">
        <f t="shared" si="76"/>
        <v/>
      </c>
      <c r="V212" s="229" t="str">
        <f t="shared" si="77"/>
        <v/>
      </c>
      <c r="W212" s="229" t="str">
        <f t="shared" si="78"/>
        <v/>
      </c>
      <c r="X212" s="97" t="str">
        <f t="shared" si="79"/>
        <v/>
      </c>
    </row>
    <row r="213" spans="1:24" x14ac:dyDescent="0.2">
      <c r="A213" s="80">
        <f t="shared" si="60"/>
        <v>200</v>
      </c>
      <c r="B213" s="80"/>
      <c r="C213" s="229" t="str">
        <f t="shared" si="61"/>
        <v/>
      </c>
      <c r="D213" s="229" t="str">
        <f t="shared" si="62"/>
        <v/>
      </c>
      <c r="E213" s="229" t="str">
        <f t="shared" si="63"/>
        <v/>
      </c>
      <c r="F213" s="97" t="str">
        <f t="shared" si="64"/>
        <v/>
      </c>
      <c r="G213" s="80">
        <f t="shared" si="65"/>
        <v>200</v>
      </c>
      <c r="H213" s="80"/>
      <c r="I213" s="229" t="str">
        <f t="shared" si="66"/>
        <v/>
      </c>
      <c r="J213" s="229" t="str">
        <f t="shared" si="67"/>
        <v/>
      </c>
      <c r="K213" s="229" t="str">
        <f t="shared" si="68"/>
        <v/>
      </c>
      <c r="L213" s="97" t="str">
        <f t="shared" si="69"/>
        <v/>
      </c>
      <c r="M213" s="80">
        <f t="shared" si="70"/>
        <v>200</v>
      </c>
      <c r="N213" s="80"/>
      <c r="O213" s="229" t="str">
        <f t="shared" si="71"/>
        <v/>
      </c>
      <c r="P213" s="229" t="str">
        <f t="shared" si="72"/>
        <v/>
      </c>
      <c r="Q213" s="229" t="str">
        <f t="shared" si="73"/>
        <v/>
      </c>
      <c r="R213" s="97" t="str">
        <f t="shared" si="74"/>
        <v/>
      </c>
      <c r="S213" s="80">
        <f t="shared" si="75"/>
        <v>200</v>
      </c>
      <c r="T213" s="80"/>
      <c r="U213" s="229" t="str">
        <f t="shared" si="76"/>
        <v/>
      </c>
      <c r="V213" s="229" t="str">
        <f t="shared" si="77"/>
        <v/>
      </c>
      <c r="W213" s="229" t="str">
        <f t="shared" si="78"/>
        <v/>
      </c>
      <c r="X213" s="97" t="str">
        <f t="shared" si="79"/>
        <v/>
      </c>
    </row>
    <row r="214" spans="1:24" x14ac:dyDescent="0.2">
      <c r="A214" s="80">
        <f t="shared" si="60"/>
        <v>201</v>
      </c>
      <c r="B214" s="80"/>
      <c r="C214" s="229" t="str">
        <f t="shared" si="61"/>
        <v/>
      </c>
      <c r="D214" s="229" t="str">
        <f t="shared" si="62"/>
        <v/>
      </c>
      <c r="E214" s="229" t="str">
        <f t="shared" si="63"/>
        <v/>
      </c>
      <c r="F214" s="97" t="str">
        <f t="shared" si="64"/>
        <v/>
      </c>
      <c r="G214" s="80">
        <f t="shared" si="65"/>
        <v>201</v>
      </c>
      <c r="H214" s="80"/>
      <c r="I214" s="229" t="str">
        <f t="shared" si="66"/>
        <v/>
      </c>
      <c r="J214" s="229" t="str">
        <f t="shared" si="67"/>
        <v/>
      </c>
      <c r="K214" s="229" t="str">
        <f t="shared" si="68"/>
        <v/>
      </c>
      <c r="L214" s="97" t="str">
        <f t="shared" si="69"/>
        <v/>
      </c>
      <c r="M214" s="80">
        <f t="shared" si="70"/>
        <v>201</v>
      </c>
      <c r="N214" s="80"/>
      <c r="O214" s="229" t="str">
        <f t="shared" si="71"/>
        <v/>
      </c>
      <c r="P214" s="229" t="str">
        <f t="shared" si="72"/>
        <v/>
      </c>
      <c r="Q214" s="229" t="str">
        <f t="shared" si="73"/>
        <v/>
      </c>
      <c r="R214" s="97" t="str">
        <f t="shared" si="74"/>
        <v/>
      </c>
      <c r="S214" s="80">
        <f t="shared" si="75"/>
        <v>201</v>
      </c>
      <c r="T214" s="80"/>
      <c r="U214" s="229" t="str">
        <f t="shared" si="76"/>
        <v/>
      </c>
      <c r="V214" s="229" t="str">
        <f t="shared" si="77"/>
        <v/>
      </c>
      <c r="W214" s="229" t="str">
        <f t="shared" si="78"/>
        <v/>
      </c>
      <c r="X214" s="97" t="str">
        <f t="shared" si="79"/>
        <v/>
      </c>
    </row>
    <row r="215" spans="1:24" x14ac:dyDescent="0.2">
      <c r="A215" s="80">
        <f t="shared" si="60"/>
        <v>202</v>
      </c>
      <c r="B215" s="80"/>
      <c r="C215" s="229" t="str">
        <f t="shared" si="61"/>
        <v/>
      </c>
      <c r="D215" s="229" t="str">
        <f t="shared" si="62"/>
        <v/>
      </c>
      <c r="E215" s="229" t="str">
        <f t="shared" si="63"/>
        <v/>
      </c>
      <c r="F215" s="97" t="str">
        <f t="shared" si="64"/>
        <v/>
      </c>
      <c r="G215" s="80">
        <f t="shared" si="65"/>
        <v>202</v>
      </c>
      <c r="H215" s="80"/>
      <c r="I215" s="229" t="str">
        <f t="shared" si="66"/>
        <v/>
      </c>
      <c r="J215" s="229" t="str">
        <f t="shared" si="67"/>
        <v/>
      </c>
      <c r="K215" s="229" t="str">
        <f t="shared" si="68"/>
        <v/>
      </c>
      <c r="L215" s="97" t="str">
        <f t="shared" si="69"/>
        <v/>
      </c>
      <c r="M215" s="80">
        <f t="shared" si="70"/>
        <v>202</v>
      </c>
      <c r="N215" s="80"/>
      <c r="O215" s="229" t="str">
        <f t="shared" si="71"/>
        <v/>
      </c>
      <c r="P215" s="229" t="str">
        <f t="shared" si="72"/>
        <v/>
      </c>
      <c r="Q215" s="229" t="str">
        <f t="shared" si="73"/>
        <v/>
      </c>
      <c r="R215" s="97" t="str">
        <f t="shared" si="74"/>
        <v/>
      </c>
      <c r="S215" s="80">
        <f t="shared" si="75"/>
        <v>202</v>
      </c>
      <c r="T215" s="80"/>
      <c r="U215" s="229" t="str">
        <f t="shared" si="76"/>
        <v/>
      </c>
      <c r="V215" s="229" t="str">
        <f t="shared" si="77"/>
        <v/>
      </c>
      <c r="W215" s="229" t="str">
        <f t="shared" si="78"/>
        <v/>
      </c>
      <c r="X215" s="97" t="str">
        <f t="shared" si="79"/>
        <v/>
      </c>
    </row>
    <row r="216" spans="1:24" x14ac:dyDescent="0.2">
      <c r="A216" s="80">
        <f t="shared" si="60"/>
        <v>203</v>
      </c>
      <c r="B216" s="80"/>
      <c r="C216" s="229" t="str">
        <f t="shared" si="61"/>
        <v/>
      </c>
      <c r="D216" s="229" t="str">
        <f t="shared" si="62"/>
        <v/>
      </c>
      <c r="E216" s="229" t="str">
        <f t="shared" si="63"/>
        <v/>
      </c>
      <c r="F216" s="97" t="str">
        <f t="shared" si="64"/>
        <v/>
      </c>
      <c r="G216" s="80">
        <f t="shared" si="65"/>
        <v>203</v>
      </c>
      <c r="H216" s="80"/>
      <c r="I216" s="229" t="str">
        <f t="shared" si="66"/>
        <v/>
      </c>
      <c r="J216" s="229" t="str">
        <f t="shared" si="67"/>
        <v/>
      </c>
      <c r="K216" s="229" t="str">
        <f t="shared" si="68"/>
        <v/>
      </c>
      <c r="L216" s="97" t="str">
        <f t="shared" si="69"/>
        <v/>
      </c>
      <c r="M216" s="80">
        <f t="shared" si="70"/>
        <v>203</v>
      </c>
      <c r="N216" s="80"/>
      <c r="O216" s="229" t="str">
        <f t="shared" si="71"/>
        <v/>
      </c>
      <c r="P216" s="229" t="str">
        <f t="shared" si="72"/>
        <v/>
      </c>
      <c r="Q216" s="229" t="str">
        <f t="shared" si="73"/>
        <v/>
      </c>
      <c r="R216" s="97" t="str">
        <f t="shared" si="74"/>
        <v/>
      </c>
      <c r="S216" s="80">
        <f t="shared" si="75"/>
        <v>203</v>
      </c>
      <c r="T216" s="80"/>
      <c r="U216" s="229" t="str">
        <f t="shared" si="76"/>
        <v/>
      </c>
      <c r="V216" s="229" t="str">
        <f t="shared" si="77"/>
        <v/>
      </c>
      <c r="W216" s="229" t="str">
        <f t="shared" si="78"/>
        <v/>
      </c>
      <c r="X216" s="97" t="str">
        <f t="shared" si="79"/>
        <v/>
      </c>
    </row>
    <row r="217" spans="1:24" x14ac:dyDescent="0.2">
      <c r="A217" s="80">
        <f t="shared" si="60"/>
        <v>204</v>
      </c>
      <c r="B217" s="80"/>
      <c r="C217" s="229" t="str">
        <f t="shared" si="61"/>
        <v/>
      </c>
      <c r="D217" s="229" t="str">
        <f t="shared" si="62"/>
        <v/>
      </c>
      <c r="E217" s="229" t="str">
        <f t="shared" si="63"/>
        <v/>
      </c>
      <c r="F217" s="97" t="str">
        <f t="shared" si="64"/>
        <v/>
      </c>
      <c r="G217" s="80">
        <f t="shared" si="65"/>
        <v>204</v>
      </c>
      <c r="H217" s="80"/>
      <c r="I217" s="229" t="str">
        <f t="shared" si="66"/>
        <v/>
      </c>
      <c r="J217" s="229" t="str">
        <f t="shared" si="67"/>
        <v/>
      </c>
      <c r="K217" s="229" t="str">
        <f t="shared" si="68"/>
        <v/>
      </c>
      <c r="L217" s="97" t="str">
        <f t="shared" si="69"/>
        <v/>
      </c>
      <c r="M217" s="80">
        <f t="shared" si="70"/>
        <v>204</v>
      </c>
      <c r="N217" s="80"/>
      <c r="O217" s="229" t="str">
        <f t="shared" si="71"/>
        <v/>
      </c>
      <c r="P217" s="229" t="str">
        <f t="shared" si="72"/>
        <v/>
      </c>
      <c r="Q217" s="229" t="str">
        <f t="shared" si="73"/>
        <v/>
      </c>
      <c r="R217" s="97" t="str">
        <f t="shared" si="74"/>
        <v/>
      </c>
      <c r="S217" s="80">
        <f t="shared" si="75"/>
        <v>204</v>
      </c>
      <c r="T217" s="80"/>
      <c r="U217" s="229" t="str">
        <f t="shared" si="76"/>
        <v/>
      </c>
      <c r="V217" s="229" t="str">
        <f t="shared" si="77"/>
        <v/>
      </c>
      <c r="W217" s="229" t="str">
        <f t="shared" si="78"/>
        <v/>
      </c>
      <c r="X217" s="97" t="str">
        <f t="shared" si="79"/>
        <v/>
      </c>
    </row>
    <row r="218" spans="1:24" x14ac:dyDescent="0.2">
      <c r="A218" s="80">
        <f t="shared" si="60"/>
        <v>205</v>
      </c>
      <c r="B218" s="80"/>
      <c r="C218" s="229" t="str">
        <f t="shared" si="61"/>
        <v/>
      </c>
      <c r="D218" s="229" t="str">
        <f t="shared" si="62"/>
        <v/>
      </c>
      <c r="E218" s="229" t="str">
        <f t="shared" si="63"/>
        <v/>
      </c>
      <c r="F218" s="97" t="str">
        <f t="shared" si="64"/>
        <v/>
      </c>
      <c r="G218" s="80">
        <f t="shared" si="65"/>
        <v>205</v>
      </c>
      <c r="H218" s="80"/>
      <c r="I218" s="229" t="str">
        <f t="shared" si="66"/>
        <v/>
      </c>
      <c r="J218" s="229" t="str">
        <f t="shared" si="67"/>
        <v/>
      </c>
      <c r="K218" s="229" t="str">
        <f t="shared" si="68"/>
        <v/>
      </c>
      <c r="L218" s="97" t="str">
        <f t="shared" si="69"/>
        <v/>
      </c>
      <c r="M218" s="80">
        <f t="shared" si="70"/>
        <v>205</v>
      </c>
      <c r="N218" s="80"/>
      <c r="O218" s="229" t="str">
        <f t="shared" si="71"/>
        <v/>
      </c>
      <c r="P218" s="229" t="str">
        <f t="shared" si="72"/>
        <v/>
      </c>
      <c r="Q218" s="229" t="str">
        <f t="shared" si="73"/>
        <v/>
      </c>
      <c r="R218" s="97" t="str">
        <f t="shared" si="74"/>
        <v/>
      </c>
      <c r="S218" s="80">
        <f t="shared" si="75"/>
        <v>205</v>
      </c>
      <c r="T218" s="80"/>
      <c r="U218" s="229" t="str">
        <f t="shared" si="76"/>
        <v/>
      </c>
      <c r="V218" s="229" t="str">
        <f t="shared" si="77"/>
        <v/>
      </c>
      <c r="W218" s="229" t="str">
        <f t="shared" si="78"/>
        <v/>
      </c>
      <c r="X218" s="97" t="str">
        <f t="shared" si="79"/>
        <v/>
      </c>
    </row>
    <row r="219" spans="1:24" x14ac:dyDescent="0.2">
      <c r="A219" s="80">
        <f t="shared" si="60"/>
        <v>206</v>
      </c>
      <c r="B219" s="80"/>
      <c r="C219" s="229" t="str">
        <f t="shared" si="61"/>
        <v/>
      </c>
      <c r="D219" s="229" t="str">
        <f t="shared" si="62"/>
        <v/>
      </c>
      <c r="E219" s="229" t="str">
        <f t="shared" si="63"/>
        <v/>
      </c>
      <c r="F219" s="97" t="str">
        <f t="shared" si="64"/>
        <v/>
      </c>
      <c r="G219" s="80">
        <f t="shared" si="65"/>
        <v>206</v>
      </c>
      <c r="H219" s="80"/>
      <c r="I219" s="229" t="str">
        <f t="shared" si="66"/>
        <v/>
      </c>
      <c r="J219" s="229" t="str">
        <f t="shared" si="67"/>
        <v/>
      </c>
      <c r="K219" s="229" t="str">
        <f t="shared" si="68"/>
        <v/>
      </c>
      <c r="L219" s="97" t="str">
        <f t="shared" si="69"/>
        <v/>
      </c>
      <c r="M219" s="80">
        <f t="shared" si="70"/>
        <v>206</v>
      </c>
      <c r="N219" s="80"/>
      <c r="O219" s="229" t="str">
        <f t="shared" si="71"/>
        <v/>
      </c>
      <c r="P219" s="229" t="str">
        <f t="shared" si="72"/>
        <v/>
      </c>
      <c r="Q219" s="229" t="str">
        <f t="shared" si="73"/>
        <v/>
      </c>
      <c r="R219" s="97" t="str">
        <f t="shared" si="74"/>
        <v/>
      </c>
      <c r="S219" s="80">
        <f t="shared" si="75"/>
        <v>206</v>
      </c>
      <c r="T219" s="80"/>
      <c r="U219" s="229" t="str">
        <f t="shared" si="76"/>
        <v/>
      </c>
      <c r="V219" s="229" t="str">
        <f t="shared" si="77"/>
        <v/>
      </c>
      <c r="W219" s="229" t="str">
        <f t="shared" si="78"/>
        <v/>
      </c>
      <c r="X219" s="97" t="str">
        <f t="shared" si="79"/>
        <v/>
      </c>
    </row>
    <row r="220" spans="1:24" x14ac:dyDescent="0.2">
      <c r="A220" s="80">
        <f t="shared" si="60"/>
        <v>207</v>
      </c>
      <c r="B220" s="80"/>
      <c r="C220" s="229" t="str">
        <f t="shared" si="61"/>
        <v/>
      </c>
      <c r="D220" s="229" t="str">
        <f t="shared" si="62"/>
        <v/>
      </c>
      <c r="E220" s="229" t="str">
        <f t="shared" si="63"/>
        <v/>
      </c>
      <c r="F220" s="97" t="str">
        <f t="shared" si="64"/>
        <v/>
      </c>
      <c r="G220" s="80">
        <f t="shared" si="65"/>
        <v>207</v>
      </c>
      <c r="H220" s="80"/>
      <c r="I220" s="229" t="str">
        <f t="shared" si="66"/>
        <v/>
      </c>
      <c r="J220" s="229" t="str">
        <f t="shared" si="67"/>
        <v/>
      </c>
      <c r="K220" s="229" t="str">
        <f t="shared" si="68"/>
        <v/>
      </c>
      <c r="L220" s="97" t="str">
        <f t="shared" si="69"/>
        <v/>
      </c>
      <c r="M220" s="80">
        <f t="shared" si="70"/>
        <v>207</v>
      </c>
      <c r="N220" s="80"/>
      <c r="O220" s="229" t="str">
        <f t="shared" si="71"/>
        <v/>
      </c>
      <c r="P220" s="229" t="str">
        <f t="shared" si="72"/>
        <v/>
      </c>
      <c r="Q220" s="229" t="str">
        <f t="shared" si="73"/>
        <v/>
      </c>
      <c r="R220" s="97" t="str">
        <f t="shared" si="74"/>
        <v/>
      </c>
      <c r="S220" s="80">
        <f t="shared" si="75"/>
        <v>207</v>
      </c>
      <c r="T220" s="80"/>
      <c r="U220" s="229" t="str">
        <f t="shared" si="76"/>
        <v/>
      </c>
      <c r="V220" s="229" t="str">
        <f t="shared" si="77"/>
        <v/>
      </c>
      <c r="W220" s="229" t="str">
        <f t="shared" si="78"/>
        <v/>
      </c>
      <c r="X220" s="97" t="str">
        <f t="shared" si="79"/>
        <v/>
      </c>
    </row>
    <row r="221" spans="1:24" x14ac:dyDescent="0.2">
      <c r="A221" s="80">
        <f t="shared" si="60"/>
        <v>208</v>
      </c>
      <c r="B221" s="80"/>
      <c r="C221" s="229" t="str">
        <f t="shared" si="61"/>
        <v/>
      </c>
      <c r="D221" s="229" t="str">
        <f t="shared" si="62"/>
        <v/>
      </c>
      <c r="E221" s="229" t="str">
        <f t="shared" si="63"/>
        <v/>
      </c>
      <c r="F221" s="97" t="str">
        <f t="shared" si="64"/>
        <v/>
      </c>
      <c r="G221" s="80">
        <f t="shared" si="65"/>
        <v>208</v>
      </c>
      <c r="H221" s="80"/>
      <c r="I221" s="229" t="str">
        <f t="shared" si="66"/>
        <v/>
      </c>
      <c r="J221" s="229" t="str">
        <f t="shared" si="67"/>
        <v/>
      </c>
      <c r="K221" s="229" t="str">
        <f t="shared" si="68"/>
        <v/>
      </c>
      <c r="L221" s="97" t="str">
        <f t="shared" si="69"/>
        <v/>
      </c>
      <c r="M221" s="80">
        <f t="shared" si="70"/>
        <v>208</v>
      </c>
      <c r="N221" s="80"/>
      <c r="O221" s="229" t="str">
        <f t="shared" si="71"/>
        <v/>
      </c>
      <c r="P221" s="229" t="str">
        <f t="shared" si="72"/>
        <v/>
      </c>
      <c r="Q221" s="229" t="str">
        <f t="shared" si="73"/>
        <v/>
      </c>
      <c r="R221" s="97" t="str">
        <f t="shared" si="74"/>
        <v/>
      </c>
      <c r="S221" s="80">
        <f t="shared" si="75"/>
        <v>208</v>
      </c>
      <c r="T221" s="80"/>
      <c r="U221" s="229" t="str">
        <f t="shared" si="76"/>
        <v/>
      </c>
      <c r="V221" s="229" t="str">
        <f t="shared" si="77"/>
        <v/>
      </c>
      <c r="W221" s="229" t="str">
        <f t="shared" si="78"/>
        <v/>
      </c>
      <c r="X221" s="97" t="str">
        <f t="shared" si="79"/>
        <v/>
      </c>
    </row>
    <row r="222" spans="1:24" x14ac:dyDescent="0.2">
      <c r="A222" s="80">
        <f t="shared" si="60"/>
        <v>209</v>
      </c>
      <c r="B222" s="80"/>
      <c r="C222" s="229" t="str">
        <f t="shared" si="61"/>
        <v/>
      </c>
      <c r="D222" s="229" t="str">
        <f t="shared" si="62"/>
        <v/>
      </c>
      <c r="E222" s="229" t="str">
        <f t="shared" si="63"/>
        <v/>
      </c>
      <c r="F222" s="97" t="str">
        <f t="shared" si="64"/>
        <v/>
      </c>
      <c r="G222" s="80">
        <f t="shared" si="65"/>
        <v>209</v>
      </c>
      <c r="H222" s="80"/>
      <c r="I222" s="229" t="str">
        <f t="shared" si="66"/>
        <v/>
      </c>
      <c r="J222" s="229" t="str">
        <f t="shared" si="67"/>
        <v/>
      </c>
      <c r="K222" s="229" t="str">
        <f t="shared" si="68"/>
        <v/>
      </c>
      <c r="L222" s="97" t="str">
        <f t="shared" si="69"/>
        <v/>
      </c>
      <c r="M222" s="80">
        <f t="shared" si="70"/>
        <v>209</v>
      </c>
      <c r="N222" s="80"/>
      <c r="O222" s="229" t="str">
        <f t="shared" si="71"/>
        <v/>
      </c>
      <c r="P222" s="229" t="str">
        <f t="shared" si="72"/>
        <v/>
      </c>
      <c r="Q222" s="229" t="str">
        <f t="shared" si="73"/>
        <v/>
      </c>
      <c r="R222" s="97" t="str">
        <f t="shared" si="74"/>
        <v/>
      </c>
      <c r="S222" s="80">
        <f t="shared" si="75"/>
        <v>209</v>
      </c>
      <c r="T222" s="80"/>
      <c r="U222" s="229" t="str">
        <f t="shared" si="76"/>
        <v/>
      </c>
      <c r="V222" s="229" t="str">
        <f t="shared" si="77"/>
        <v/>
      </c>
      <c r="W222" s="229" t="str">
        <f t="shared" si="78"/>
        <v/>
      </c>
      <c r="X222" s="97" t="str">
        <f t="shared" si="79"/>
        <v/>
      </c>
    </row>
    <row r="223" spans="1:24" x14ac:dyDescent="0.2">
      <c r="A223" s="80">
        <f t="shared" si="60"/>
        <v>210</v>
      </c>
      <c r="B223" s="80"/>
      <c r="C223" s="229" t="str">
        <f t="shared" si="61"/>
        <v/>
      </c>
      <c r="D223" s="229" t="str">
        <f t="shared" si="62"/>
        <v/>
      </c>
      <c r="E223" s="229" t="str">
        <f t="shared" si="63"/>
        <v/>
      </c>
      <c r="F223" s="97" t="str">
        <f t="shared" si="64"/>
        <v/>
      </c>
      <c r="G223" s="80">
        <f t="shared" si="65"/>
        <v>210</v>
      </c>
      <c r="H223" s="80"/>
      <c r="I223" s="229" t="str">
        <f t="shared" si="66"/>
        <v/>
      </c>
      <c r="J223" s="229" t="str">
        <f t="shared" si="67"/>
        <v/>
      </c>
      <c r="K223" s="229" t="str">
        <f t="shared" si="68"/>
        <v/>
      </c>
      <c r="L223" s="97" t="str">
        <f t="shared" si="69"/>
        <v/>
      </c>
      <c r="M223" s="80">
        <f t="shared" si="70"/>
        <v>210</v>
      </c>
      <c r="N223" s="80"/>
      <c r="O223" s="229" t="str">
        <f t="shared" si="71"/>
        <v/>
      </c>
      <c r="P223" s="229" t="str">
        <f t="shared" si="72"/>
        <v/>
      </c>
      <c r="Q223" s="229" t="str">
        <f t="shared" si="73"/>
        <v/>
      </c>
      <c r="R223" s="97" t="str">
        <f t="shared" si="74"/>
        <v/>
      </c>
      <c r="S223" s="80">
        <f t="shared" si="75"/>
        <v>210</v>
      </c>
      <c r="T223" s="80"/>
      <c r="U223" s="229" t="str">
        <f t="shared" si="76"/>
        <v/>
      </c>
      <c r="V223" s="229" t="str">
        <f t="shared" si="77"/>
        <v/>
      </c>
      <c r="W223" s="229" t="str">
        <f t="shared" si="78"/>
        <v/>
      </c>
      <c r="X223" s="97" t="str">
        <f t="shared" si="79"/>
        <v/>
      </c>
    </row>
    <row r="224" spans="1:24" x14ac:dyDescent="0.2">
      <c r="A224" s="80">
        <f t="shared" si="60"/>
        <v>211</v>
      </c>
      <c r="B224" s="80"/>
      <c r="C224" s="229" t="str">
        <f t="shared" si="61"/>
        <v/>
      </c>
      <c r="D224" s="229" t="str">
        <f t="shared" si="62"/>
        <v/>
      </c>
      <c r="E224" s="229" t="str">
        <f t="shared" si="63"/>
        <v/>
      </c>
      <c r="F224" s="97" t="str">
        <f t="shared" si="64"/>
        <v/>
      </c>
      <c r="G224" s="80">
        <f t="shared" si="65"/>
        <v>211</v>
      </c>
      <c r="H224" s="80"/>
      <c r="I224" s="229" t="str">
        <f t="shared" si="66"/>
        <v/>
      </c>
      <c r="J224" s="229" t="str">
        <f t="shared" si="67"/>
        <v/>
      </c>
      <c r="K224" s="229" t="str">
        <f t="shared" si="68"/>
        <v/>
      </c>
      <c r="L224" s="97" t="str">
        <f t="shared" si="69"/>
        <v/>
      </c>
      <c r="M224" s="80">
        <f t="shared" si="70"/>
        <v>211</v>
      </c>
      <c r="N224" s="80"/>
      <c r="O224" s="229" t="str">
        <f t="shared" si="71"/>
        <v/>
      </c>
      <c r="P224" s="229" t="str">
        <f t="shared" si="72"/>
        <v/>
      </c>
      <c r="Q224" s="229" t="str">
        <f t="shared" si="73"/>
        <v/>
      </c>
      <c r="R224" s="97" t="str">
        <f t="shared" si="74"/>
        <v/>
      </c>
      <c r="S224" s="80">
        <f t="shared" si="75"/>
        <v>211</v>
      </c>
      <c r="T224" s="80"/>
      <c r="U224" s="229" t="str">
        <f t="shared" si="76"/>
        <v/>
      </c>
      <c r="V224" s="229" t="str">
        <f t="shared" si="77"/>
        <v/>
      </c>
      <c r="W224" s="229" t="str">
        <f t="shared" si="78"/>
        <v/>
      </c>
      <c r="X224" s="97" t="str">
        <f t="shared" si="79"/>
        <v/>
      </c>
    </row>
    <row r="225" spans="1:24" x14ac:dyDescent="0.2">
      <c r="A225" s="80">
        <f t="shared" si="60"/>
        <v>212</v>
      </c>
      <c r="B225" s="80"/>
      <c r="C225" s="229" t="str">
        <f t="shared" si="61"/>
        <v/>
      </c>
      <c r="D225" s="229" t="str">
        <f t="shared" si="62"/>
        <v/>
      </c>
      <c r="E225" s="229" t="str">
        <f t="shared" si="63"/>
        <v/>
      </c>
      <c r="F225" s="97" t="str">
        <f t="shared" si="64"/>
        <v/>
      </c>
      <c r="G225" s="80">
        <f t="shared" si="65"/>
        <v>212</v>
      </c>
      <c r="H225" s="80"/>
      <c r="I225" s="229" t="str">
        <f t="shared" si="66"/>
        <v/>
      </c>
      <c r="J225" s="229" t="str">
        <f t="shared" si="67"/>
        <v/>
      </c>
      <c r="K225" s="229" t="str">
        <f t="shared" si="68"/>
        <v/>
      </c>
      <c r="L225" s="97" t="str">
        <f t="shared" si="69"/>
        <v/>
      </c>
      <c r="M225" s="80">
        <f t="shared" si="70"/>
        <v>212</v>
      </c>
      <c r="N225" s="80"/>
      <c r="O225" s="229" t="str">
        <f t="shared" si="71"/>
        <v/>
      </c>
      <c r="P225" s="229" t="str">
        <f t="shared" si="72"/>
        <v/>
      </c>
      <c r="Q225" s="229" t="str">
        <f t="shared" si="73"/>
        <v/>
      </c>
      <c r="R225" s="97" t="str">
        <f t="shared" si="74"/>
        <v/>
      </c>
      <c r="S225" s="80">
        <f t="shared" si="75"/>
        <v>212</v>
      </c>
      <c r="T225" s="80"/>
      <c r="U225" s="229" t="str">
        <f t="shared" si="76"/>
        <v/>
      </c>
      <c r="V225" s="229" t="str">
        <f t="shared" si="77"/>
        <v/>
      </c>
      <c r="W225" s="229" t="str">
        <f t="shared" si="78"/>
        <v/>
      </c>
      <c r="X225" s="97" t="str">
        <f t="shared" si="79"/>
        <v/>
      </c>
    </row>
    <row r="226" spans="1:24" x14ac:dyDescent="0.2">
      <c r="A226" s="80">
        <f t="shared" si="60"/>
        <v>213</v>
      </c>
      <c r="B226" s="80"/>
      <c r="C226" s="229" t="str">
        <f t="shared" si="61"/>
        <v/>
      </c>
      <c r="D226" s="229" t="str">
        <f t="shared" si="62"/>
        <v/>
      </c>
      <c r="E226" s="229" t="str">
        <f t="shared" si="63"/>
        <v/>
      </c>
      <c r="F226" s="97" t="str">
        <f t="shared" si="64"/>
        <v/>
      </c>
      <c r="G226" s="80">
        <f t="shared" si="65"/>
        <v>213</v>
      </c>
      <c r="H226" s="80"/>
      <c r="I226" s="229" t="str">
        <f t="shared" si="66"/>
        <v/>
      </c>
      <c r="J226" s="229" t="str">
        <f t="shared" si="67"/>
        <v/>
      </c>
      <c r="K226" s="229" t="str">
        <f t="shared" si="68"/>
        <v/>
      </c>
      <c r="L226" s="97" t="str">
        <f t="shared" si="69"/>
        <v/>
      </c>
      <c r="M226" s="80">
        <f t="shared" si="70"/>
        <v>213</v>
      </c>
      <c r="N226" s="80"/>
      <c r="O226" s="229" t="str">
        <f t="shared" si="71"/>
        <v/>
      </c>
      <c r="P226" s="229" t="str">
        <f t="shared" si="72"/>
        <v/>
      </c>
      <c r="Q226" s="229" t="str">
        <f t="shared" si="73"/>
        <v/>
      </c>
      <c r="R226" s="97" t="str">
        <f t="shared" si="74"/>
        <v/>
      </c>
      <c r="S226" s="80">
        <f t="shared" si="75"/>
        <v>213</v>
      </c>
      <c r="T226" s="80"/>
      <c r="U226" s="229" t="str">
        <f t="shared" si="76"/>
        <v/>
      </c>
      <c r="V226" s="229" t="str">
        <f t="shared" si="77"/>
        <v/>
      </c>
      <c r="W226" s="229" t="str">
        <f t="shared" si="78"/>
        <v/>
      </c>
      <c r="X226" s="97" t="str">
        <f t="shared" si="79"/>
        <v/>
      </c>
    </row>
    <row r="227" spans="1:24" x14ac:dyDescent="0.2">
      <c r="A227" s="80">
        <f t="shared" si="60"/>
        <v>214</v>
      </c>
      <c r="B227" s="80"/>
      <c r="C227" s="229" t="str">
        <f t="shared" si="61"/>
        <v/>
      </c>
      <c r="D227" s="229" t="str">
        <f t="shared" si="62"/>
        <v/>
      </c>
      <c r="E227" s="229" t="str">
        <f t="shared" si="63"/>
        <v/>
      </c>
      <c r="F227" s="97" t="str">
        <f t="shared" si="64"/>
        <v/>
      </c>
      <c r="G227" s="80">
        <f t="shared" si="65"/>
        <v>214</v>
      </c>
      <c r="H227" s="80"/>
      <c r="I227" s="229" t="str">
        <f t="shared" si="66"/>
        <v/>
      </c>
      <c r="J227" s="229" t="str">
        <f t="shared" si="67"/>
        <v/>
      </c>
      <c r="K227" s="229" t="str">
        <f t="shared" si="68"/>
        <v/>
      </c>
      <c r="L227" s="97" t="str">
        <f t="shared" si="69"/>
        <v/>
      </c>
      <c r="M227" s="80">
        <f t="shared" si="70"/>
        <v>214</v>
      </c>
      <c r="N227" s="80"/>
      <c r="O227" s="229" t="str">
        <f t="shared" si="71"/>
        <v/>
      </c>
      <c r="P227" s="229" t="str">
        <f t="shared" si="72"/>
        <v/>
      </c>
      <c r="Q227" s="229" t="str">
        <f t="shared" si="73"/>
        <v/>
      </c>
      <c r="R227" s="97" t="str">
        <f t="shared" si="74"/>
        <v/>
      </c>
      <c r="S227" s="80">
        <f t="shared" si="75"/>
        <v>214</v>
      </c>
      <c r="T227" s="80"/>
      <c r="U227" s="229" t="str">
        <f t="shared" si="76"/>
        <v/>
      </c>
      <c r="V227" s="229" t="str">
        <f t="shared" si="77"/>
        <v/>
      </c>
      <c r="W227" s="229" t="str">
        <f t="shared" si="78"/>
        <v/>
      </c>
      <c r="X227" s="97" t="str">
        <f t="shared" si="79"/>
        <v/>
      </c>
    </row>
    <row r="228" spans="1:24" x14ac:dyDescent="0.2">
      <c r="A228" s="80">
        <f t="shared" si="60"/>
        <v>215</v>
      </c>
      <c r="B228" s="80"/>
      <c r="C228" s="229" t="str">
        <f t="shared" si="61"/>
        <v/>
      </c>
      <c r="D228" s="229" t="str">
        <f t="shared" si="62"/>
        <v/>
      </c>
      <c r="E228" s="229" t="str">
        <f t="shared" si="63"/>
        <v/>
      </c>
      <c r="F228" s="97" t="str">
        <f t="shared" si="64"/>
        <v/>
      </c>
      <c r="G228" s="80">
        <f t="shared" si="65"/>
        <v>215</v>
      </c>
      <c r="H228" s="80"/>
      <c r="I228" s="229" t="str">
        <f t="shared" si="66"/>
        <v/>
      </c>
      <c r="J228" s="229" t="str">
        <f t="shared" si="67"/>
        <v/>
      </c>
      <c r="K228" s="229" t="str">
        <f t="shared" si="68"/>
        <v/>
      </c>
      <c r="L228" s="97" t="str">
        <f t="shared" si="69"/>
        <v/>
      </c>
      <c r="M228" s="80">
        <f t="shared" si="70"/>
        <v>215</v>
      </c>
      <c r="N228" s="80"/>
      <c r="O228" s="229" t="str">
        <f t="shared" si="71"/>
        <v/>
      </c>
      <c r="P228" s="229" t="str">
        <f t="shared" si="72"/>
        <v/>
      </c>
      <c r="Q228" s="229" t="str">
        <f t="shared" si="73"/>
        <v/>
      </c>
      <c r="R228" s="97" t="str">
        <f t="shared" si="74"/>
        <v/>
      </c>
      <c r="S228" s="80">
        <f t="shared" si="75"/>
        <v>215</v>
      </c>
      <c r="T228" s="80"/>
      <c r="U228" s="229" t="str">
        <f t="shared" si="76"/>
        <v/>
      </c>
      <c r="V228" s="229" t="str">
        <f t="shared" si="77"/>
        <v/>
      </c>
      <c r="W228" s="229" t="str">
        <f t="shared" si="78"/>
        <v/>
      </c>
      <c r="X228" s="97" t="str">
        <f t="shared" si="79"/>
        <v/>
      </c>
    </row>
    <row r="229" spans="1:24" x14ac:dyDescent="0.2">
      <c r="A229" s="80">
        <f t="shared" si="60"/>
        <v>216</v>
      </c>
      <c r="B229" s="80"/>
      <c r="C229" s="229" t="str">
        <f t="shared" si="61"/>
        <v/>
      </c>
      <c r="D229" s="229" t="str">
        <f t="shared" si="62"/>
        <v/>
      </c>
      <c r="E229" s="229" t="str">
        <f t="shared" si="63"/>
        <v/>
      </c>
      <c r="F229" s="97" t="str">
        <f t="shared" si="64"/>
        <v/>
      </c>
      <c r="G229" s="80">
        <f t="shared" si="65"/>
        <v>216</v>
      </c>
      <c r="H229" s="80"/>
      <c r="I229" s="229" t="str">
        <f t="shared" si="66"/>
        <v/>
      </c>
      <c r="J229" s="229" t="str">
        <f t="shared" si="67"/>
        <v/>
      </c>
      <c r="K229" s="229" t="str">
        <f t="shared" si="68"/>
        <v/>
      </c>
      <c r="L229" s="97" t="str">
        <f t="shared" si="69"/>
        <v/>
      </c>
      <c r="M229" s="80">
        <f t="shared" si="70"/>
        <v>216</v>
      </c>
      <c r="N229" s="80"/>
      <c r="O229" s="229" t="str">
        <f t="shared" si="71"/>
        <v/>
      </c>
      <c r="P229" s="229" t="str">
        <f t="shared" si="72"/>
        <v/>
      </c>
      <c r="Q229" s="229" t="str">
        <f t="shared" si="73"/>
        <v/>
      </c>
      <c r="R229" s="97" t="str">
        <f t="shared" si="74"/>
        <v/>
      </c>
      <c r="S229" s="80">
        <f t="shared" si="75"/>
        <v>216</v>
      </c>
      <c r="T229" s="80"/>
      <c r="U229" s="229" t="str">
        <f t="shared" si="76"/>
        <v/>
      </c>
      <c r="V229" s="229" t="str">
        <f t="shared" si="77"/>
        <v/>
      </c>
      <c r="W229" s="229" t="str">
        <f t="shared" si="78"/>
        <v/>
      </c>
      <c r="X229" s="97" t="str">
        <f t="shared" si="79"/>
        <v/>
      </c>
    </row>
    <row r="230" spans="1:24" x14ac:dyDescent="0.2">
      <c r="A230" s="80">
        <f t="shared" si="60"/>
        <v>217</v>
      </c>
      <c r="B230" s="80"/>
      <c r="C230" s="229" t="str">
        <f t="shared" si="61"/>
        <v/>
      </c>
      <c r="D230" s="229" t="str">
        <f t="shared" si="62"/>
        <v/>
      </c>
      <c r="E230" s="229" t="str">
        <f t="shared" si="63"/>
        <v/>
      </c>
      <c r="F230" s="97" t="str">
        <f t="shared" si="64"/>
        <v/>
      </c>
      <c r="G230" s="80">
        <f t="shared" si="65"/>
        <v>217</v>
      </c>
      <c r="H230" s="80"/>
      <c r="I230" s="229" t="str">
        <f t="shared" si="66"/>
        <v/>
      </c>
      <c r="J230" s="229" t="str">
        <f t="shared" si="67"/>
        <v/>
      </c>
      <c r="K230" s="229" t="str">
        <f t="shared" si="68"/>
        <v/>
      </c>
      <c r="L230" s="97" t="str">
        <f t="shared" si="69"/>
        <v/>
      </c>
      <c r="M230" s="80">
        <f t="shared" si="70"/>
        <v>217</v>
      </c>
      <c r="N230" s="80"/>
      <c r="O230" s="229" t="str">
        <f t="shared" si="71"/>
        <v/>
      </c>
      <c r="P230" s="229" t="str">
        <f t="shared" si="72"/>
        <v/>
      </c>
      <c r="Q230" s="229" t="str">
        <f t="shared" si="73"/>
        <v/>
      </c>
      <c r="R230" s="97" t="str">
        <f t="shared" si="74"/>
        <v/>
      </c>
      <c r="S230" s="80">
        <f t="shared" si="75"/>
        <v>217</v>
      </c>
      <c r="T230" s="80"/>
      <c r="U230" s="229" t="str">
        <f t="shared" si="76"/>
        <v/>
      </c>
      <c r="V230" s="229" t="str">
        <f t="shared" si="77"/>
        <v/>
      </c>
      <c r="W230" s="229" t="str">
        <f t="shared" si="78"/>
        <v/>
      </c>
      <c r="X230" s="97" t="str">
        <f t="shared" si="79"/>
        <v/>
      </c>
    </row>
    <row r="231" spans="1:24" x14ac:dyDescent="0.2">
      <c r="A231" s="80">
        <f t="shared" si="60"/>
        <v>218</v>
      </c>
      <c r="B231" s="80"/>
      <c r="C231" s="229" t="str">
        <f t="shared" si="61"/>
        <v/>
      </c>
      <c r="D231" s="229" t="str">
        <f t="shared" si="62"/>
        <v/>
      </c>
      <c r="E231" s="229" t="str">
        <f t="shared" si="63"/>
        <v/>
      </c>
      <c r="F231" s="97" t="str">
        <f t="shared" si="64"/>
        <v/>
      </c>
      <c r="G231" s="80">
        <f t="shared" si="65"/>
        <v>218</v>
      </c>
      <c r="H231" s="80"/>
      <c r="I231" s="229" t="str">
        <f t="shared" si="66"/>
        <v/>
      </c>
      <c r="J231" s="229" t="str">
        <f t="shared" si="67"/>
        <v/>
      </c>
      <c r="K231" s="229" t="str">
        <f t="shared" si="68"/>
        <v/>
      </c>
      <c r="L231" s="97" t="str">
        <f t="shared" si="69"/>
        <v/>
      </c>
      <c r="M231" s="80">
        <f t="shared" si="70"/>
        <v>218</v>
      </c>
      <c r="N231" s="80"/>
      <c r="O231" s="229" t="str">
        <f t="shared" si="71"/>
        <v/>
      </c>
      <c r="P231" s="229" t="str">
        <f t="shared" si="72"/>
        <v/>
      </c>
      <c r="Q231" s="229" t="str">
        <f t="shared" si="73"/>
        <v/>
      </c>
      <c r="R231" s="97" t="str">
        <f t="shared" si="74"/>
        <v/>
      </c>
      <c r="S231" s="80">
        <f t="shared" si="75"/>
        <v>218</v>
      </c>
      <c r="T231" s="80"/>
      <c r="U231" s="229" t="str">
        <f t="shared" si="76"/>
        <v/>
      </c>
      <c r="V231" s="229" t="str">
        <f t="shared" si="77"/>
        <v/>
      </c>
      <c r="W231" s="229" t="str">
        <f t="shared" si="78"/>
        <v/>
      </c>
      <c r="X231" s="97" t="str">
        <f t="shared" si="79"/>
        <v/>
      </c>
    </row>
    <row r="232" spans="1:24" x14ac:dyDescent="0.2">
      <c r="A232" s="80">
        <f t="shared" si="60"/>
        <v>219</v>
      </c>
      <c r="B232" s="80"/>
      <c r="C232" s="229" t="str">
        <f t="shared" si="61"/>
        <v/>
      </c>
      <c r="D232" s="229" t="str">
        <f t="shared" si="62"/>
        <v/>
      </c>
      <c r="E232" s="229" t="str">
        <f t="shared" si="63"/>
        <v/>
      </c>
      <c r="F232" s="97" t="str">
        <f t="shared" si="64"/>
        <v/>
      </c>
      <c r="G232" s="80">
        <f t="shared" si="65"/>
        <v>219</v>
      </c>
      <c r="H232" s="80"/>
      <c r="I232" s="229" t="str">
        <f t="shared" si="66"/>
        <v/>
      </c>
      <c r="J232" s="229" t="str">
        <f t="shared" si="67"/>
        <v/>
      </c>
      <c r="K232" s="229" t="str">
        <f t="shared" si="68"/>
        <v/>
      </c>
      <c r="L232" s="97" t="str">
        <f t="shared" si="69"/>
        <v/>
      </c>
      <c r="M232" s="80">
        <f t="shared" si="70"/>
        <v>219</v>
      </c>
      <c r="N232" s="80"/>
      <c r="O232" s="229" t="str">
        <f t="shared" si="71"/>
        <v/>
      </c>
      <c r="P232" s="229" t="str">
        <f t="shared" si="72"/>
        <v/>
      </c>
      <c r="Q232" s="229" t="str">
        <f t="shared" si="73"/>
        <v/>
      </c>
      <c r="R232" s="97" t="str">
        <f t="shared" si="74"/>
        <v/>
      </c>
      <c r="S232" s="80">
        <f t="shared" si="75"/>
        <v>219</v>
      </c>
      <c r="T232" s="80"/>
      <c r="U232" s="229" t="str">
        <f t="shared" si="76"/>
        <v/>
      </c>
      <c r="V232" s="229" t="str">
        <f t="shared" si="77"/>
        <v/>
      </c>
      <c r="W232" s="229" t="str">
        <f t="shared" si="78"/>
        <v/>
      </c>
      <c r="X232" s="97" t="str">
        <f t="shared" si="79"/>
        <v/>
      </c>
    </row>
    <row r="233" spans="1:24" x14ac:dyDescent="0.2">
      <c r="A233" s="80">
        <f t="shared" si="60"/>
        <v>220</v>
      </c>
      <c r="B233" s="80"/>
      <c r="C233" s="229" t="str">
        <f t="shared" si="61"/>
        <v/>
      </c>
      <c r="D233" s="229" t="str">
        <f t="shared" si="62"/>
        <v/>
      </c>
      <c r="E233" s="229" t="str">
        <f t="shared" si="63"/>
        <v/>
      </c>
      <c r="F233" s="97" t="str">
        <f t="shared" si="64"/>
        <v/>
      </c>
      <c r="G233" s="80">
        <f t="shared" si="65"/>
        <v>220</v>
      </c>
      <c r="H233" s="80"/>
      <c r="I233" s="229" t="str">
        <f t="shared" si="66"/>
        <v/>
      </c>
      <c r="J233" s="229" t="str">
        <f t="shared" si="67"/>
        <v/>
      </c>
      <c r="K233" s="229" t="str">
        <f t="shared" si="68"/>
        <v/>
      </c>
      <c r="L233" s="97" t="str">
        <f t="shared" si="69"/>
        <v/>
      </c>
      <c r="M233" s="80">
        <f t="shared" si="70"/>
        <v>220</v>
      </c>
      <c r="N233" s="80"/>
      <c r="O233" s="229" t="str">
        <f t="shared" si="71"/>
        <v/>
      </c>
      <c r="P233" s="229" t="str">
        <f t="shared" si="72"/>
        <v/>
      </c>
      <c r="Q233" s="229" t="str">
        <f t="shared" si="73"/>
        <v/>
      </c>
      <c r="R233" s="97" t="str">
        <f t="shared" si="74"/>
        <v/>
      </c>
      <c r="S233" s="80">
        <f t="shared" si="75"/>
        <v>220</v>
      </c>
      <c r="T233" s="80"/>
      <c r="U233" s="229" t="str">
        <f t="shared" si="76"/>
        <v/>
      </c>
      <c r="V233" s="229" t="str">
        <f t="shared" si="77"/>
        <v/>
      </c>
      <c r="W233" s="229" t="str">
        <f t="shared" si="78"/>
        <v/>
      </c>
      <c r="X233" s="97" t="str">
        <f t="shared" si="79"/>
        <v/>
      </c>
    </row>
    <row r="234" spans="1:24" x14ac:dyDescent="0.2">
      <c r="A234" s="80">
        <f t="shared" si="60"/>
        <v>221</v>
      </c>
      <c r="B234" s="80"/>
      <c r="C234" s="229" t="str">
        <f t="shared" si="61"/>
        <v/>
      </c>
      <c r="D234" s="229" t="str">
        <f t="shared" si="62"/>
        <v/>
      </c>
      <c r="E234" s="229" t="str">
        <f t="shared" si="63"/>
        <v/>
      </c>
      <c r="F234" s="97" t="str">
        <f t="shared" si="64"/>
        <v/>
      </c>
      <c r="G234" s="80">
        <f t="shared" si="65"/>
        <v>221</v>
      </c>
      <c r="H234" s="80"/>
      <c r="I234" s="229" t="str">
        <f t="shared" si="66"/>
        <v/>
      </c>
      <c r="J234" s="229" t="str">
        <f t="shared" si="67"/>
        <v/>
      </c>
      <c r="K234" s="229" t="str">
        <f t="shared" si="68"/>
        <v/>
      </c>
      <c r="L234" s="97" t="str">
        <f t="shared" si="69"/>
        <v/>
      </c>
      <c r="M234" s="80">
        <f t="shared" si="70"/>
        <v>221</v>
      </c>
      <c r="N234" s="80"/>
      <c r="O234" s="229" t="str">
        <f t="shared" si="71"/>
        <v/>
      </c>
      <c r="P234" s="229" t="str">
        <f t="shared" si="72"/>
        <v/>
      </c>
      <c r="Q234" s="229" t="str">
        <f t="shared" si="73"/>
        <v/>
      </c>
      <c r="R234" s="97" t="str">
        <f t="shared" si="74"/>
        <v/>
      </c>
      <c r="S234" s="80">
        <f t="shared" si="75"/>
        <v>221</v>
      </c>
      <c r="T234" s="80"/>
      <c r="U234" s="229" t="str">
        <f t="shared" si="76"/>
        <v/>
      </c>
      <c r="V234" s="229" t="str">
        <f t="shared" si="77"/>
        <v/>
      </c>
      <c r="W234" s="229" t="str">
        <f t="shared" si="78"/>
        <v/>
      </c>
      <c r="X234" s="97" t="str">
        <f t="shared" si="79"/>
        <v/>
      </c>
    </row>
    <row r="235" spans="1:24" x14ac:dyDescent="0.2">
      <c r="A235" s="80">
        <f t="shared" si="60"/>
        <v>222</v>
      </c>
      <c r="B235" s="80"/>
      <c r="C235" s="229" t="str">
        <f t="shared" si="61"/>
        <v/>
      </c>
      <c r="D235" s="229" t="str">
        <f t="shared" si="62"/>
        <v/>
      </c>
      <c r="E235" s="229" t="str">
        <f t="shared" si="63"/>
        <v/>
      </c>
      <c r="F235" s="97" t="str">
        <f t="shared" si="64"/>
        <v/>
      </c>
      <c r="G235" s="80">
        <f t="shared" si="65"/>
        <v>222</v>
      </c>
      <c r="H235" s="80"/>
      <c r="I235" s="229" t="str">
        <f t="shared" si="66"/>
        <v/>
      </c>
      <c r="J235" s="229" t="str">
        <f t="shared" si="67"/>
        <v/>
      </c>
      <c r="K235" s="229" t="str">
        <f t="shared" si="68"/>
        <v/>
      </c>
      <c r="L235" s="97" t="str">
        <f t="shared" si="69"/>
        <v/>
      </c>
      <c r="M235" s="80">
        <f t="shared" si="70"/>
        <v>222</v>
      </c>
      <c r="N235" s="80"/>
      <c r="O235" s="229" t="str">
        <f t="shared" si="71"/>
        <v/>
      </c>
      <c r="P235" s="229" t="str">
        <f t="shared" si="72"/>
        <v/>
      </c>
      <c r="Q235" s="229" t="str">
        <f t="shared" si="73"/>
        <v/>
      </c>
      <c r="R235" s="97" t="str">
        <f t="shared" si="74"/>
        <v/>
      </c>
      <c r="S235" s="80">
        <f t="shared" si="75"/>
        <v>222</v>
      </c>
      <c r="T235" s="80"/>
      <c r="U235" s="229" t="str">
        <f t="shared" si="76"/>
        <v/>
      </c>
      <c r="V235" s="229" t="str">
        <f t="shared" si="77"/>
        <v/>
      </c>
      <c r="W235" s="229" t="str">
        <f t="shared" si="78"/>
        <v/>
      </c>
      <c r="X235" s="97" t="str">
        <f t="shared" si="79"/>
        <v/>
      </c>
    </row>
    <row r="236" spans="1:24" x14ac:dyDescent="0.2">
      <c r="A236" s="80">
        <f t="shared" si="60"/>
        <v>223</v>
      </c>
      <c r="B236" s="80"/>
      <c r="C236" s="229" t="str">
        <f t="shared" si="61"/>
        <v/>
      </c>
      <c r="D236" s="229" t="str">
        <f t="shared" si="62"/>
        <v/>
      </c>
      <c r="E236" s="229" t="str">
        <f t="shared" si="63"/>
        <v/>
      </c>
      <c r="F236" s="97" t="str">
        <f t="shared" si="64"/>
        <v/>
      </c>
      <c r="G236" s="80">
        <f t="shared" si="65"/>
        <v>223</v>
      </c>
      <c r="H236" s="80"/>
      <c r="I236" s="229" t="str">
        <f t="shared" si="66"/>
        <v/>
      </c>
      <c r="J236" s="229" t="str">
        <f t="shared" si="67"/>
        <v/>
      </c>
      <c r="K236" s="229" t="str">
        <f t="shared" si="68"/>
        <v/>
      </c>
      <c r="L236" s="97" t="str">
        <f t="shared" si="69"/>
        <v/>
      </c>
      <c r="M236" s="80">
        <f t="shared" si="70"/>
        <v>223</v>
      </c>
      <c r="N236" s="80"/>
      <c r="O236" s="229" t="str">
        <f t="shared" si="71"/>
        <v/>
      </c>
      <c r="P236" s="229" t="str">
        <f t="shared" si="72"/>
        <v/>
      </c>
      <c r="Q236" s="229" t="str">
        <f t="shared" si="73"/>
        <v/>
      </c>
      <c r="R236" s="97" t="str">
        <f t="shared" si="74"/>
        <v/>
      </c>
      <c r="S236" s="80">
        <f t="shared" si="75"/>
        <v>223</v>
      </c>
      <c r="T236" s="80"/>
      <c r="U236" s="229" t="str">
        <f t="shared" si="76"/>
        <v/>
      </c>
      <c r="V236" s="229" t="str">
        <f t="shared" si="77"/>
        <v/>
      </c>
      <c r="W236" s="229" t="str">
        <f t="shared" si="78"/>
        <v/>
      </c>
      <c r="X236" s="97" t="str">
        <f t="shared" si="79"/>
        <v/>
      </c>
    </row>
    <row r="237" spans="1:24" x14ac:dyDescent="0.2">
      <c r="A237" s="80">
        <f t="shared" si="60"/>
        <v>224</v>
      </c>
      <c r="B237" s="80"/>
      <c r="C237" s="229" t="str">
        <f t="shared" si="61"/>
        <v/>
      </c>
      <c r="D237" s="229" t="str">
        <f t="shared" si="62"/>
        <v/>
      </c>
      <c r="E237" s="229" t="str">
        <f t="shared" si="63"/>
        <v/>
      </c>
      <c r="F237" s="97" t="str">
        <f t="shared" si="64"/>
        <v/>
      </c>
      <c r="G237" s="80">
        <f t="shared" si="65"/>
        <v>224</v>
      </c>
      <c r="H237" s="80"/>
      <c r="I237" s="229" t="str">
        <f t="shared" si="66"/>
        <v/>
      </c>
      <c r="J237" s="229" t="str">
        <f t="shared" si="67"/>
        <v/>
      </c>
      <c r="K237" s="229" t="str">
        <f t="shared" si="68"/>
        <v/>
      </c>
      <c r="L237" s="97" t="str">
        <f t="shared" si="69"/>
        <v/>
      </c>
      <c r="M237" s="80">
        <f t="shared" si="70"/>
        <v>224</v>
      </c>
      <c r="N237" s="80"/>
      <c r="O237" s="229" t="str">
        <f t="shared" si="71"/>
        <v/>
      </c>
      <c r="P237" s="229" t="str">
        <f t="shared" si="72"/>
        <v/>
      </c>
      <c r="Q237" s="229" t="str">
        <f t="shared" si="73"/>
        <v/>
      </c>
      <c r="R237" s="97" t="str">
        <f t="shared" si="74"/>
        <v/>
      </c>
      <c r="S237" s="80">
        <f t="shared" si="75"/>
        <v>224</v>
      </c>
      <c r="T237" s="80"/>
      <c r="U237" s="229" t="str">
        <f t="shared" si="76"/>
        <v/>
      </c>
      <c r="V237" s="229" t="str">
        <f t="shared" si="77"/>
        <v/>
      </c>
      <c r="W237" s="229" t="str">
        <f t="shared" si="78"/>
        <v/>
      </c>
      <c r="X237" s="97" t="str">
        <f t="shared" si="79"/>
        <v/>
      </c>
    </row>
    <row r="238" spans="1:24" x14ac:dyDescent="0.2">
      <c r="A238" s="80">
        <f t="shared" si="60"/>
        <v>225</v>
      </c>
      <c r="B238" s="80"/>
      <c r="C238" s="229" t="str">
        <f t="shared" si="61"/>
        <v/>
      </c>
      <c r="D238" s="229" t="str">
        <f t="shared" si="62"/>
        <v/>
      </c>
      <c r="E238" s="229" t="str">
        <f t="shared" si="63"/>
        <v/>
      </c>
      <c r="F238" s="97" t="str">
        <f t="shared" si="64"/>
        <v/>
      </c>
      <c r="G238" s="80">
        <f t="shared" si="65"/>
        <v>225</v>
      </c>
      <c r="H238" s="80"/>
      <c r="I238" s="229" t="str">
        <f t="shared" si="66"/>
        <v/>
      </c>
      <c r="J238" s="229" t="str">
        <f t="shared" si="67"/>
        <v/>
      </c>
      <c r="K238" s="229" t="str">
        <f t="shared" si="68"/>
        <v/>
      </c>
      <c r="L238" s="97" t="str">
        <f t="shared" si="69"/>
        <v/>
      </c>
      <c r="M238" s="80">
        <f t="shared" si="70"/>
        <v>225</v>
      </c>
      <c r="N238" s="80"/>
      <c r="O238" s="229" t="str">
        <f t="shared" si="71"/>
        <v/>
      </c>
      <c r="P238" s="229" t="str">
        <f t="shared" si="72"/>
        <v/>
      </c>
      <c r="Q238" s="229" t="str">
        <f t="shared" si="73"/>
        <v/>
      </c>
      <c r="R238" s="97" t="str">
        <f t="shared" si="74"/>
        <v/>
      </c>
      <c r="S238" s="80">
        <f t="shared" si="75"/>
        <v>225</v>
      </c>
      <c r="T238" s="80"/>
      <c r="U238" s="229" t="str">
        <f t="shared" si="76"/>
        <v/>
      </c>
      <c r="V238" s="229" t="str">
        <f t="shared" si="77"/>
        <v/>
      </c>
      <c r="W238" s="229" t="str">
        <f t="shared" si="78"/>
        <v/>
      </c>
      <c r="X238" s="97" t="str">
        <f t="shared" si="79"/>
        <v/>
      </c>
    </row>
    <row r="239" spans="1:24" x14ac:dyDescent="0.2">
      <c r="A239" s="80">
        <f t="shared" si="60"/>
        <v>226</v>
      </c>
      <c r="B239" s="80"/>
      <c r="C239" s="229" t="str">
        <f t="shared" si="61"/>
        <v/>
      </c>
      <c r="D239" s="229" t="str">
        <f t="shared" si="62"/>
        <v/>
      </c>
      <c r="E239" s="229" t="str">
        <f t="shared" si="63"/>
        <v/>
      </c>
      <c r="F239" s="97" t="str">
        <f t="shared" si="64"/>
        <v/>
      </c>
      <c r="G239" s="80">
        <f t="shared" si="65"/>
        <v>226</v>
      </c>
      <c r="H239" s="80"/>
      <c r="I239" s="229" t="str">
        <f t="shared" si="66"/>
        <v/>
      </c>
      <c r="J239" s="229" t="str">
        <f t="shared" si="67"/>
        <v/>
      </c>
      <c r="K239" s="229" t="str">
        <f t="shared" si="68"/>
        <v/>
      </c>
      <c r="L239" s="97" t="str">
        <f t="shared" si="69"/>
        <v/>
      </c>
      <c r="M239" s="80">
        <f t="shared" si="70"/>
        <v>226</v>
      </c>
      <c r="N239" s="80"/>
      <c r="O239" s="229" t="str">
        <f t="shared" si="71"/>
        <v/>
      </c>
      <c r="P239" s="229" t="str">
        <f t="shared" si="72"/>
        <v/>
      </c>
      <c r="Q239" s="229" t="str">
        <f t="shared" si="73"/>
        <v/>
      </c>
      <c r="R239" s="97" t="str">
        <f t="shared" si="74"/>
        <v/>
      </c>
      <c r="S239" s="80">
        <f t="shared" si="75"/>
        <v>226</v>
      </c>
      <c r="T239" s="80"/>
      <c r="U239" s="229" t="str">
        <f t="shared" si="76"/>
        <v/>
      </c>
      <c r="V239" s="229" t="str">
        <f t="shared" si="77"/>
        <v/>
      </c>
      <c r="W239" s="229" t="str">
        <f t="shared" si="78"/>
        <v/>
      </c>
      <c r="X239" s="97" t="str">
        <f t="shared" si="79"/>
        <v/>
      </c>
    </row>
    <row r="240" spans="1:24" x14ac:dyDescent="0.2">
      <c r="A240" s="80">
        <f t="shared" si="60"/>
        <v>227</v>
      </c>
      <c r="B240" s="80"/>
      <c r="C240" s="229" t="str">
        <f t="shared" si="61"/>
        <v/>
      </c>
      <c r="D240" s="229" t="str">
        <f t="shared" si="62"/>
        <v/>
      </c>
      <c r="E240" s="229" t="str">
        <f t="shared" si="63"/>
        <v/>
      </c>
      <c r="F240" s="97" t="str">
        <f t="shared" si="64"/>
        <v/>
      </c>
      <c r="G240" s="80">
        <f t="shared" si="65"/>
        <v>227</v>
      </c>
      <c r="H240" s="80"/>
      <c r="I240" s="229" t="str">
        <f t="shared" si="66"/>
        <v/>
      </c>
      <c r="J240" s="229" t="str">
        <f t="shared" si="67"/>
        <v/>
      </c>
      <c r="K240" s="229" t="str">
        <f t="shared" si="68"/>
        <v/>
      </c>
      <c r="L240" s="97" t="str">
        <f t="shared" si="69"/>
        <v/>
      </c>
      <c r="M240" s="80">
        <f t="shared" si="70"/>
        <v>227</v>
      </c>
      <c r="N240" s="80"/>
      <c r="O240" s="229" t="str">
        <f t="shared" si="71"/>
        <v/>
      </c>
      <c r="P240" s="229" t="str">
        <f t="shared" si="72"/>
        <v/>
      </c>
      <c r="Q240" s="229" t="str">
        <f t="shared" si="73"/>
        <v/>
      </c>
      <c r="R240" s="97" t="str">
        <f t="shared" si="74"/>
        <v/>
      </c>
      <c r="S240" s="80">
        <f t="shared" si="75"/>
        <v>227</v>
      </c>
      <c r="T240" s="80"/>
      <c r="U240" s="229" t="str">
        <f t="shared" si="76"/>
        <v/>
      </c>
      <c r="V240" s="229" t="str">
        <f t="shared" si="77"/>
        <v/>
      </c>
      <c r="W240" s="229" t="str">
        <f t="shared" si="78"/>
        <v/>
      </c>
      <c r="X240" s="97" t="str">
        <f t="shared" si="79"/>
        <v/>
      </c>
    </row>
    <row r="241" spans="1:24" x14ac:dyDescent="0.2">
      <c r="A241" s="80">
        <f t="shared" si="60"/>
        <v>228</v>
      </c>
      <c r="B241" s="80"/>
      <c r="C241" s="229" t="str">
        <f t="shared" si="61"/>
        <v/>
      </c>
      <c r="D241" s="229" t="str">
        <f t="shared" si="62"/>
        <v/>
      </c>
      <c r="E241" s="229" t="str">
        <f t="shared" si="63"/>
        <v/>
      </c>
      <c r="F241" s="97" t="str">
        <f t="shared" si="64"/>
        <v/>
      </c>
      <c r="G241" s="80">
        <f t="shared" si="65"/>
        <v>228</v>
      </c>
      <c r="H241" s="80"/>
      <c r="I241" s="229" t="str">
        <f t="shared" si="66"/>
        <v/>
      </c>
      <c r="J241" s="229" t="str">
        <f t="shared" si="67"/>
        <v/>
      </c>
      <c r="K241" s="229" t="str">
        <f t="shared" si="68"/>
        <v/>
      </c>
      <c r="L241" s="97" t="str">
        <f t="shared" si="69"/>
        <v/>
      </c>
      <c r="M241" s="80">
        <f t="shared" si="70"/>
        <v>228</v>
      </c>
      <c r="N241" s="80"/>
      <c r="O241" s="229" t="str">
        <f t="shared" si="71"/>
        <v/>
      </c>
      <c r="P241" s="229" t="str">
        <f t="shared" si="72"/>
        <v/>
      </c>
      <c r="Q241" s="229" t="str">
        <f t="shared" si="73"/>
        <v/>
      </c>
      <c r="R241" s="97" t="str">
        <f t="shared" si="74"/>
        <v/>
      </c>
      <c r="S241" s="80">
        <f t="shared" si="75"/>
        <v>228</v>
      </c>
      <c r="T241" s="80"/>
      <c r="U241" s="229" t="str">
        <f t="shared" si="76"/>
        <v/>
      </c>
      <c r="V241" s="229" t="str">
        <f t="shared" si="77"/>
        <v/>
      </c>
      <c r="W241" s="229" t="str">
        <f t="shared" si="78"/>
        <v/>
      </c>
      <c r="X241" s="97" t="str">
        <f t="shared" si="79"/>
        <v/>
      </c>
    </row>
    <row r="242" spans="1:24" x14ac:dyDescent="0.2">
      <c r="A242" s="80">
        <f t="shared" si="60"/>
        <v>229</v>
      </c>
      <c r="B242" s="80"/>
      <c r="C242" s="229" t="str">
        <f t="shared" si="61"/>
        <v/>
      </c>
      <c r="D242" s="229" t="str">
        <f t="shared" si="62"/>
        <v/>
      </c>
      <c r="E242" s="229" t="str">
        <f t="shared" si="63"/>
        <v/>
      </c>
      <c r="F242" s="97" t="str">
        <f t="shared" si="64"/>
        <v/>
      </c>
      <c r="G242" s="80">
        <f t="shared" si="65"/>
        <v>229</v>
      </c>
      <c r="H242" s="80"/>
      <c r="I242" s="229" t="str">
        <f t="shared" si="66"/>
        <v/>
      </c>
      <c r="J242" s="229" t="str">
        <f t="shared" si="67"/>
        <v/>
      </c>
      <c r="K242" s="229" t="str">
        <f t="shared" si="68"/>
        <v/>
      </c>
      <c r="L242" s="97" t="str">
        <f t="shared" si="69"/>
        <v/>
      </c>
      <c r="M242" s="80">
        <f t="shared" si="70"/>
        <v>229</v>
      </c>
      <c r="N242" s="80"/>
      <c r="O242" s="229" t="str">
        <f t="shared" si="71"/>
        <v/>
      </c>
      <c r="P242" s="229" t="str">
        <f t="shared" si="72"/>
        <v/>
      </c>
      <c r="Q242" s="229" t="str">
        <f t="shared" si="73"/>
        <v/>
      </c>
      <c r="R242" s="97" t="str">
        <f t="shared" si="74"/>
        <v/>
      </c>
      <c r="S242" s="80">
        <f t="shared" si="75"/>
        <v>229</v>
      </c>
      <c r="T242" s="80"/>
      <c r="U242" s="229" t="str">
        <f t="shared" si="76"/>
        <v/>
      </c>
      <c r="V242" s="229" t="str">
        <f t="shared" si="77"/>
        <v/>
      </c>
      <c r="W242" s="229" t="str">
        <f t="shared" si="78"/>
        <v/>
      </c>
      <c r="X242" s="97" t="str">
        <f t="shared" si="79"/>
        <v/>
      </c>
    </row>
    <row r="243" spans="1:24" x14ac:dyDescent="0.2">
      <c r="A243" s="80">
        <f t="shared" si="60"/>
        <v>230</v>
      </c>
      <c r="B243" s="80"/>
      <c r="C243" s="229" t="str">
        <f t="shared" si="61"/>
        <v/>
      </c>
      <c r="D243" s="229" t="str">
        <f t="shared" si="62"/>
        <v/>
      </c>
      <c r="E243" s="229" t="str">
        <f t="shared" si="63"/>
        <v/>
      </c>
      <c r="F243" s="97" t="str">
        <f t="shared" si="64"/>
        <v/>
      </c>
      <c r="G243" s="80">
        <f t="shared" si="65"/>
        <v>230</v>
      </c>
      <c r="H243" s="80"/>
      <c r="I243" s="229" t="str">
        <f t="shared" si="66"/>
        <v/>
      </c>
      <c r="J243" s="229" t="str">
        <f t="shared" si="67"/>
        <v/>
      </c>
      <c r="K243" s="229" t="str">
        <f t="shared" si="68"/>
        <v/>
      </c>
      <c r="L243" s="97" t="str">
        <f t="shared" si="69"/>
        <v/>
      </c>
      <c r="M243" s="80">
        <f t="shared" si="70"/>
        <v>230</v>
      </c>
      <c r="N243" s="80"/>
      <c r="O243" s="229" t="str">
        <f t="shared" si="71"/>
        <v/>
      </c>
      <c r="P243" s="229" t="str">
        <f t="shared" si="72"/>
        <v/>
      </c>
      <c r="Q243" s="229" t="str">
        <f t="shared" si="73"/>
        <v/>
      </c>
      <c r="R243" s="97" t="str">
        <f t="shared" si="74"/>
        <v/>
      </c>
      <c r="S243" s="80">
        <f t="shared" si="75"/>
        <v>230</v>
      </c>
      <c r="T243" s="80"/>
      <c r="U243" s="229" t="str">
        <f t="shared" si="76"/>
        <v/>
      </c>
      <c r="V243" s="229" t="str">
        <f t="shared" si="77"/>
        <v/>
      </c>
      <c r="W243" s="229" t="str">
        <f t="shared" si="78"/>
        <v/>
      </c>
      <c r="X243" s="97" t="str">
        <f t="shared" si="79"/>
        <v/>
      </c>
    </row>
    <row r="244" spans="1:24" x14ac:dyDescent="0.2">
      <c r="A244" s="80">
        <f t="shared" si="60"/>
        <v>231</v>
      </c>
      <c r="B244" s="80"/>
      <c r="C244" s="229" t="str">
        <f t="shared" si="61"/>
        <v/>
      </c>
      <c r="D244" s="229" t="str">
        <f t="shared" si="62"/>
        <v/>
      </c>
      <c r="E244" s="229" t="str">
        <f t="shared" si="63"/>
        <v/>
      </c>
      <c r="F244" s="97" t="str">
        <f t="shared" si="64"/>
        <v/>
      </c>
      <c r="G244" s="80">
        <f t="shared" si="65"/>
        <v>231</v>
      </c>
      <c r="H244" s="80"/>
      <c r="I244" s="229" t="str">
        <f t="shared" si="66"/>
        <v/>
      </c>
      <c r="J244" s="229" t="str">
        <f t="shared" si="67"/>
        <v/>
      </c>
      <c r="K244" s="229" t="str">
        <f t="shared" si="68"/>
        <v/>
      </c>
      <c r="L244" s="97" t="str">
        <f t="shared" si="69"/>
        <v/>
      </c>
      <c r="M244" s="80">
        <f t="shared" si="70"/>
        <v>231</v>
      </c>
      <c r="N244" s="80"/>
      <c r="O244" s="229" t="str">
        <f t="shared" si="71"/>
        <v/>
      </c>
      <c r="P244" s="229" t="str">
        <f t="shared" si="72"/>
        <v/>
      </c>
      <c r="Q244" s="229" t="str">
        <f t="shared" si="73"/>
        <v/>
      </c>
      <c r="R244" s="97" t="str">
        <f t="shared" si="74"/>
        <v/>
      </c>
      <c r="S244" s="80">
        <f t="shared" si="75"/>
        <v>231</v>
      </c>
      <c r="T244" s="80"/>
      <c r="U244" s="229" t="str">
        <f t="shared" si="76"/>
        <v/>
      </c>
      <c r="V244" s="229" t="str">
        <f t="shared" si="77"/>
        <v/>
      </c>
      <c r="W244" s="229" t="str">
        <f t="shared" si="78"/>
        <v/>
      </c>
      <c r="X244" s="97" t="str">
        <f t="shared" si="79"/>
        <v/>
      </c>
    </row>
    <row r="245" spans="1:24" x14ac:dyDescent="0.2">
      <c r="A245" s="80">
        <f t="shared" si="60"/>
        <v>232</v>
      </c>
      <c r="B245" s="80"/>
      <c r="C245" s="229" t="str">
        <f t="shared" si="61"/>
        <v/>
      </c>
      <c r="D245" s="229" t="str">
        <f t="shared" si="62"/>
        <v/>
      </c>
      <c r="E245" s="229" t="str">
        <f t="shared" si="63"/>
        <v/>
      </c>
      <c r="F245" s="97" t="str">
        <f t="shared" si="64"/>
        <v/>
      </c>
      <c r="G245" s="80">
        <f t="shared" si="65"/>
        <v>232</v>
      </c>
      <c r="H245" s="80"/>
      <c r="I245" s="229" t="str">
        <f t="shared" si="66"/>
        <v/>
      </c>
      <c r="J245" s="229" t="str">
        <f t="shared" si="67"/>
        <v/>
      </c>
      <c r="K245" s="229" t="str">
        <f t="shared" si="68"/>
        <v/>
      </c>
      <c r="L245" s="97" t="str">
        <f t="shared" si="69"/>
        <v/>
      </c>
      <c r="M245" s="80">
        <f t="shared" si="70"/>
        <v>232</v>
      </c>
      <c r="N245" s="80"/>
      <c r="O245" s="229" t="str">
        <f t="shared" si="71"/>
        <v/>
      </c>
      <c r="P245" s="229" t="str">
        <f t="shared" si="72"/>
        <v/>
      </c>
      <c r="Q245" s="229" t="str">
        <f t="shared" si="73"/>
        <v/>
      </c>
      <c r="R245" s="97" t="str">
        <f t="shared" si="74"/>
        <v/>
      </c>
      <c r="S245" s="80">
        <f t="shared" si="75"/>
        <v>232</v>
      </c>
      <c r="T245" s="80"/>
      <c r="U245" s="229" t="str">
        <f t="shared" si="76"/>
        <v/>
      </c>
      <c r="V245" s="229" t="str">
        <f t="shared" si="77"/>
        <v/>
      </c>
      <c r="W245" s="229" t="str">
        <f t="shared" si="78"/>
        <v/>
      </c>
      <c r="X245" s="97" t="str">
        <f t="shared" si="79"/>
        <v/>
      </c>
    </row>
    <row r="246" spans="1:24" x14ac:dyDescent="0.2">
      <c r="A246" s="80">
        <f t="shared" si="60"/>
        <v>233</v>
      </c>
      <c r="B246" s="80"/>
      <c r="C246" s="229" t="str">
        <f t="shared" si="61"/>
        <v/>
      </c>
      <c r="D246" s="229" t="str">
        <f t="shared" si="62"/>
        <v/>
      </c>
      <c r="E246" s="229" t="str">
        <f t="shared" si="63"/>
        <v/>
      </c>
      <c r="F246" s="97" t="str">
        <f t="shared" si="64"/>
        <v/>
      </c>
      <c r="G246" s="80">
        <f t="shared" si="65"/>
        <v>233</v>
      </c>
      <c r="H246" s="80"/>
      <c r="I246" s="229" t="str">
        <f t="shared" si="66"/>
        <v/>
      </c>
      <c r="J246" s="229" t="str">
        <f t="shared" si="67"/>
        <v/>
      </c>
      <c r="K246" s="229" t="str">
        <f t="shared" si="68"/>
        <v/>
      </c>
      <c r="L246" s="97" t="str">
        <f t="shared" si="69"/>
        <v/>
      </c>
      <c r="M246" s="80">
        <f t="shared" si="70"/>
        <v>233</v>
      </c>
      <c r="N246" s="80"/>
      <c r="O246" s="229" t="str">
        <f t="shared" si="71"/>
        <v/>
      </c>
      <c r="P246" s="229" t="str">
        <f t="shared" si="72"/>
        <v/>
      </c>
      <c r="Q246" s="229" t="str">
        <f t="shared" si="73"/>
        <v/>
      </c>
      <c r="R246" s="97" t="str">
        <f t="shared" si="74"/>
        <v/>
      </c>
      <c r="S246" s="80">
        <f t="shared" si="75"/>
        <v>233</v>
      </c>
      <c r="T246" s="80"/>
      <c r="U246" s="229" t="str">
        <f t="shared" si="76"/>
        <v/>
      </c>
      <c r="V246" s="229" t="str">
        <f t="shared" si="77"/>
        <v/>
      </c>
      <c r="W246" s="229" t="str">
        <f t="shared" si="78"/>
        <v/>
      </c>
      <c r="X246" s="97" t="str">
        <f t="shared" si="79"/>
        <v/>
      </c>
    </row>
    <row r="247" spans="1:24" x14ac:dyDescent="0.2">
      <c r="A247" s="80">
        <f t="shared" si="60"/>
        <v>234</v>
      </c>
      <c r="B247" s="80"/>
      <c r="C247" s="229" t="str">
        <f t="shared" si="61"/>
        <v/>
      </c>
      <c r="D247" s="229" t="str">
        <f t="shared" si="62"/>
        <v/>
      </c>
      <c r="E247" s="229" t="str">
        <f t="shared" si="63"/>
        <v/>
      </c>
      <c r="F247" s="97" t="str">
        <f t="shared" si="64"/>
        <v/>
      </c>
      <c r="G247" s="80">
        <f t="shared" si="65"/>
        <v>234</v>
      </c>
      <c r="H247" s="80"/>
      <c r="I247" s="229" t="str">
        <f t="shared" si="66"/>
        <v/>
      </c>
      <c r="J247" s="229" t="str">
        <f t="shared" si="67"/>
        <v/>
      </c>
      <c r="K247" s="229" t="str">
        <f t="shared" si="68"/>
        <v/>
      </c>
      <c r="L247" s="97" t="str">
        <f t="shared" si="69"/>
        <v/>
      </c>
      <c r="M247" s="80">
        <f t="shared" si="70"/>
        <v>234</v>
      </c>
      <c r="N247" s="80"/>
      <c r="O247" s="229" t="str">
        <f t="shared" si="71"/>
        <v/>
      </c>
      <c r="P247" s="229" t="str">
        <f t="shared" si="72"/>
        <v/>
      </c>
      <c r="Q247" s="229" t="str">
        <f t="shared" si="73"/>
        <v/>
      </c>
      <c r="R247" s="97" t="str">
        <f t="shared" si="74"/>
        <v/>
      </c>
      <c r="S247" s="80">
        <f t="shared" si="75"/>
        <v>234</v>
      </c>
      <c r="T247" s="80"/>
      <c r="U247" s="229" t="str">
        <f t="shared" si="76"/>
        <v/>
      </c>
      <c r="V247" s="229" t="str">
        <f t="shared" si="77"/>
        <v/>
      </c>
      <c r="W247" s="229" t="str">
        <f t="shared" si="78"/>
        <v/>
      </c>
      <c r="X247" s="97" t="str">
        <f t="shared" si="79"/>
        <v/>
      </c>
    </row>
    <row r="248" spans="1:24" x14ac:dyDescent="0.2">
      <c r="A248" s="80">
        <f t="shared" si="60"/>
        <v>235</v>
      </c>
      <c r="B248" s="80"/>
      <c r="C248" s="229" t="str">
        <f t="shared" si="61"/>
        <v/>
      </c>
      <c r="D248" s="229" t="str">
        <f t="shared" si="62"/>
        <v/>
      </c>
      <c r="E248" s="229" t="str">
        <f t="shared" si="63"/>
        <v/>
      </c>
      <c r="F248" s="97" t="str">
        <f t="shared" si="64"/>
        <v/>
      </c>
      <c r="G248" s="80">
        <f t="shared" si="65"/>
        <v>235</v>
      </c>
      <c r="H248" s="80"/>
      <c r="I248" s="229" t="str">
        <f t="shared" si="66"/>
        <v/>
      </c>
      <c r="J248" s="229" t="str">
        <f t="shared" si="67"/>
        <v/>
      </c>
      <c r="K248" s="229" t="str">
        <f t="shared" si="68"/>
        <v/>
      </c>
      <c r="L248" s="97" t="str">
        <f t="shared" si="69"/>
        <v/>
      </c>
      <c r="M248" s="80">
        <f t="shared" si="70"/>
        <v>235</v>
      </c>
      <c r="N248" s="80"/>
      <c r="O248" s="229" t="str">
        <f t="shared" si="71"/>
        <v/>
      </c>
      <c r="P248" s="229" t="str">
        <f t="shared" si="72"/>
        <v/>
      </c>
      <c r="Q248" s="229" t="str">
        <f t="shared" si="73"/>
        <v/>
      </c>
      <c r="R248" s="97" t="str">
        <f t="shared" si="74"/>
        <v/>
      </c>
      <c r="S248" s="80">
        <f t="shared" si="75"/>
        <v>235</v>
      </c>
      <c r="T248" s="80"/>
      <c r="U248" s="229" t="str">
        <f t="shared" si="76"/>
        <v/>
      </c>
      <c r="V248" s="229" t="str">
        <f t="shared" si="77"/>
        <v/>
      </c>
      <c r="W248" s="229" t="str">
        <f t="shared" si="78"/>
        <v/>
      </c>
      <c r="X248" s="97" t="str">
        <f t="shared" si="79"/>
        <v/>
      </c>
    </row>
    <row r="249" spans="1:24" x14ac:dyDescent="0.2">
      <c r="A249" s="80">
        <f t="shared" si="60"/>
        <v>236</v>
      </c>
      <c r="B249" s="80"/>
      <c r="C249" s="229" t="str">
        <f t="shared" si="61"/>
        <v/>
      </c>
      <c r="D249" s="229" t="str">
        <f t="shared" si="62"/>
        <v/>
      </c>
      <c r="E249" s="229" t="str">
        <f t="shared" si="63"/>
        <v/>
      </c>
      <c r="F249" s="97" t="str">
        <f t="shared" si="64"/>
        <v/>
      </c>
      <c r="G249" s="80">
        <f t="shared" si="65"/>
        <v>236</v>
      </c>
      <c r="H249" s="80"/>
      <c r="I249" s="229" t="str">
        <f t="shared" si="66"/>
        <v/>
      </c>
      <c r="J249" s="229" t="str">
        <f t="shared" si="67"/>
        <v/>
      </c>
      <c r="K249" s="229" t="str">
        <f t="shared" si="68"/>
        <v/>
      </c>
      <c r="L249" s="97" t="str">
        <f t="shared" si="69"/>
        <v/>
      </c>
      <c r="M249" s="80">
        <f t="shared" si="70"/>
        <v>236</v>
      </c>
      <c r="N249" s="80"/>
      <c r="O249" s="229" t="str">
        <f t="shared" si="71"/>
        <v/>
      </c>
      <c r="P249" s="229" t="str">
        <f t="shared" si="72"/>
        <v/>
      </c>
      <c r="Q249" s="229" t="str">
        <f t="shared" si="73"/>
        <v/>
      </c>
      <c r="R249" s="97" t="str">
        <f t="shared" si="74"/>
        <v/>
      </c>
      <c r="S249" s="80">
        <f t="shared" si="75"/>
        <v>236</v>
      </c>
      <c r="T249" s="80"/>
      <c r="U249" s="229" t="str">
        <f t="shared" si="76"/>
        <v/>
      </c>
      <c r="V249" s="229" t="str">
        <f t="shared" si="77"/>
        <v/>
      </c>
      <c r="W249" s="229" t="str">
        <f t="shared" si="78"/>
        <v/>
      </c>
      <c r="X249" s="97" t="str">
        <f t="shared" si="79"/>
        <v/>
      </c>
    </row>
    <row r="250" spans="1:24" x14ac:dyDescent="0.2">
      <c r="A250" s="80">
        <f t="shared" si="60"/>
        <v>237</v>
      </c>
      <c r="B250" s="80"/>
      <c r="C250" s="229" t="str">
        <f t="shared" si="61"/>
        <v/>
      </c>
      <c r="D250" s="229" t="str">
        <f t="shared" si="62"/>
        <v/>
      </c>
      <c r="E250" s="229" t="str">
        <f t="shared" si="63"/>
        <v/>
      </c>
      <c r="F250" s="97" t="str">
        <f t="shared" si="64"/>
        <v/>
      </c>
      <c r="G250" s="80">
        <f t="shared" si="65"/>
        <v>237</v>
      </c>
      <c r="H250" s="80"/>
      <c r="I250" s="229" t="str">
        <f t="shared" si="66"/>
        <v/>
      </c>
      <c r="J250" s="229" t="str">
        <f t="shared" si="67"/>
        <v/>
      </c>
      <c r="K250" s="229" t="str">
        <f t="shared" si="68"/>
        <v/>
      </c>
      <c r="L250" s="97" t="str">
        <f t="shared" si="69"/>
        <v/>
      </c>
      <c r="M250" s="80">
        <f t="shared" si="70"/>
        <v>237</v>
      </c>
      <c r="N250" s="80"/>
      <c r="O250" s="229" t="str">
        <f t="shared" si="71"/>
        <v/>
      </c>
      <c r="P250" s="229" t="str">
        <f t="shared" si="72"/>
        <v/>
      </c>
      <c r="Q250" s="229" t="str">
        <f t="shared" si="73"/>
        <v/>
      </c>
      <c r="R250" s="97" t="str">
        <f t="shared" si="74"/>
        <v/>
      </c>
      <c r="S250" s="80">
        <f t="shared" si="75"/>
        <v>237</v>
      </c>
      <c r="T250" s="80"/>
      <c r="U250" s="229" t="str">
        <f t="shared" si="76"/>
        <v/>
      </c>
      <c r="V250" s="229" t="str">
        <f t="shared" si="77"/>
        <v/>
      </c>
      <c r="W250" s="229" t="str">
        <f t="shared" si="78"/>
        <v/>
      </c>
      <c r="X250" s="97" t="str">
        <f t="shared" si="79"/>
        <v/>
      </c>
    </row>
    <row r="251" spans="1:24" x14ac:dyDescent="0.2">
      <c r="A251" s="80">
        <f t="shared" si="60"/>
        <v>238</v>
      </c>
      <c r="B251" s="80"/>
      <c r="C251" s="229" t="str">
        <f t="shared" si="61"/>
        <v/>
      </c>
      <c r="D251" s="229" t="str">
        <f t="shared" si="62"/>
        <v/>
      </c>
      <c r="E251" s="229" t="str">
        <f t="shared" si="63"/>
        <v/>
      </c>
      <c r="F251" s="97" t="str">
        <f t="shared" si="64"/>
        <v/>
      </c>
      <c r="G251" s="80">
        <f t="shared" si="65"/>
        <v>238</v>
      </c>
      <c r="H251" s="80"/>
      <c r="I251" s="229" t="str">
        <f t="shared" si="66"/>
        <v/>
      </c>
      <c r="J251" s="229" t="str">
        <f t="shared" si="67"/>
        <v/>
      </c>
      <c r="K251" s="229" t="str">
        <f t="shared" si="68"/>
        <v/>
      </c>
      <c r="L251" s="97" t="str">
        <f t="shared" si="69"/>
        <v/>
      </c>
      <c r="M251" s="80">
        <f t="shared" si="70"/>
        <v>238</v>
      </c>
      <c r="N251" s="80"/>
      <c r="O251" s="229" t="str">
        <f t="shared" si="71"/>
        <v/>
      </c>
      <c r="P251" s="229" t="str">
        <f t="shared" si="72"/>
        <v/>
      </c>
      <c r="Q251" s="229" t="str">
        <f t="shared" si="73"/>
        <v/>
      </c>
      <c r="R251" s="97" t="str">
        <f t="shared" si="74"/>
        <v/>
      </c>
      <c r="S251" s="80">
        <f t="shared" si="75"/>
        <v>238</v>
      </c>
      <c r="T251" s="80"/>
      <c r="U251" s="229" t="str">
        <f t="shared" si="76"/>
        <v/>
      </c>
      <c r="V251" s="229" t="str">
        <f t="shared" si="77"/>
        <v/>
      </c>
      <c r="W251" s="229" t="str">
        <f t="shared" si="78"/>
        <v/>
      </c>
      <c r="X251" s="97" t="str">
        <f t="shared" si="79"/>
        <v/>
      </c>
    </row>
    <row r="252" spans="1:24" x14ac:dyDescent="0.2">
      <c r="A252" s="80">
        <f t="shared" si="60"/>
        <v>239</v>
      </c>
      <c r="B252" s="80"/>
      <c r="C252" s="229" t="str">
        <f t="shared" si="61"/>
        <v/>
      </c>
      <c r="D252" s="229" t="str">
        <f t="shared" si="62"/>
        <v/>
      </c>
      <c r="E252" s="229" t="str">
        <f t="shared" si="63"/>
        <v/>
      </c>
      <c r="F252" s="97" t="str">
        <f t="shared" si="64"/>
        <v/>
      </c>
      <c r="G252" s="80">
        <f t="shared" si="65"/>
        <v>239</v>
      </c>
      <c r="H252" s="80"/>
      <c r="I252" s="229" t="str">
        <f t="shared" si="66"/>
        <v/>
      </c>
      <c r="J252" s="229" t="str">
        <f t="shared" si="67"/>
        <v/>
      </c>
      <c r="K252" s="229" t="str">
        <f t="shared" si="68"/>
        <v/>
      </c>
      <c r="L252" s="97" t="str">
        <f t="shared" si="69"/>
        <v/>
      </c>
      <c r="M252" s="80">
        <f t="shared" si="70"/>
        <v>239</v>
      </c>
      <c r="N252" s="80"/>
      <c r="O252" s="229" t="str">
        <f t="shared" si="71"/>
        <v/>
      </c>
      <c r="P252" s="229" t="str">
        <f t="shared" si="72"/>
        <v/>
      </c>
      <c r="Q252" s="229" t="str">
        <f t="shared" si="73"/>
        <v/>
      </c>
      <c r="R252" s="97" t="str">
        <f t="shared" si="74"/>
        <v/>
      </c>
      <c r="S252" s="80">
        <f t="shared" si="75"/>
        <v>239</v>
      </c>
      <c r="T252" s="80"/>
      <c r="U252" s="229" t="str">
        <f t="shared" si="76"/>
        <v/>
      </c>
      <c r="V252" s="229" t="str">
        <f t="shared" si="77"/>
        <v/>
      </c>
      <c r="W252" s="229" t="str">
        <f t="shared" si="78"/>
        <v/>
      </c>
      <c r="X252" s="97" t="str">
        <f t="shared" si="79"/>
        <v/>
      </c>
    </row>
    <row r="253" spans="1:24" x14ac:dyDescent="0.2">
      <c r="A253" s="80">
        <f t="shared" si="60"/>
        <v>240</v>
      </c>
      <c r="B253" s="80"/>
      <c r="C253" s="229" t="str">
        <f t="shared" si="61"/>
        <v/>
      </c>
      <c r="D253" s="229" t="str">
        <f t="shared" si="62"/>
        <v/>
      </c>
      <c r="E253" s="229" t="str">
        <f t="shared" si="63"/>
        <v/>
      </c>
      <c r="F253" s="97" t="str">
        <f t="shared" si="64"/>
        <v/>
      </c>
      <c r="G253" s="80">
        <f t="shared" si="65"/>
        <v>240</v>
      </c>
      <c r="H253" s="80"/>
      <c r="I253" s="229" t="str">
        <f t="shared" si="66"/>
        <v/>
      </c>
      <c r="J253" s="229" t="str">
        <f t="shared" si="67"/>
        <v/>
      </c>
      <c r="K253" s="229" t="str">
        <f t="shared" si="68"/>
        <v/>
      </c>
      <c r="L253" s="97" t="str">
        <f t="shared" si="69"/>
        <v/>
      </c>
      <c r="M253" s="80">
        <f t="shared" si="70"/>
        <v>240</v>
      </c>
      <c r="N253" s="80"/>
      <c r="O253" s="229" t="str">
        <f t="shared" si="71"/>
        <v/>
      </c>
      <c r="P253" s="229" t="str">
        <f t="shared" si="72"/>
        <v/>
      </c>
      <c r="Q253" s="229" t="str">
        <f t="shared" si="73"/>
        <v/>
      </c>
      <c r="R253" s="97" t="str">
        <f t="shared" si="74"/>
        <v/>
      </c>
      <c r="S253" s="80">
        <f t="shared" si="75"/>
        <v>240</v>
      </c>
      <c r="T253" s="80"/>
      <c r="U253" s="229" t="str">
        <f t="shared" si="76"/>
        <v/>
      </c>
      <c r="V253" s="229" t="str">
        <f t="shared" si="77"/>
        <v/>
      </c>
      <c r="W253" s="229" t="str">
        <f t="shared" si="78"/>
        <v/>
      </c>
      <c r="X253" s="97" t="str">
        <f t="shared" si="79"/>
        <v/>
      </c>
    </row>
    <row r="254" spans="1:24" x14ac:dyDescent="0.2">
      <c r="A254" s="80">
        <f t="shared" si="60"/>
        <v>241</v>
      </c>
      <c r="B254" s="80"/>
      <c r="C254" s="229" t="str">
        <f t="shared" si="61"/>
        <v/>
      </c>
      <c r="D254" s="229" t="str">
        <f t="shared" si="62"/>
        <v/>
      </c>
      <c r="E254" s="229" t="str">
        <f t="shared" si="63"/>
        <v/>
      </c>
      <c r="F254" s="97" t="str">
        <f t="shared" si="64"/>
        <v/>
      </c>
      <c r="G254" s="80">
        <f t="shared" si="65"/>
        <v>241</v>
      </c>
      <c r="H254" s="80"/>
      <c r="I254" s="229" t="str">
        <f t="shared" si="66"/>
        <v/>
      </c>
      <c r="J254" s="229" t="str">
        <f t="shared" si="67"/>
        <v/>
      </c>
      <c r="K254" s="229" t="str">
        <f t="shared" si="68"/>
        <v/>
      </c>
      <c r="L254" s="97" t="str">
        <f t="shared" si="69"/>
        <v/>
      </c>
      <c r="M254" s="80">
        <f t="shared" si="70"/>
        <v>241</v>
      </c>
      <c r="N254" s="80"/>
      <c r="O254" s="229" t="str">
        <f t="shared" si="71"/>
        <v/>
      </c>
      <c r="P254" s="229" t="str">
        <f t="shared" si="72"/>
        <v/>
      </c>
      <c r="Q254" s="229" t="str">
        <f t="shared" si="73"/>
        <v/>
      </c>
      <c r="R254" s="97" t="str">
        <f t="shared" si="74"/>
        <v/>
      </c>
      <c r="S254" s="80">
        <f t="shared" si="75"/>
        <v>241</v>
      </c>
      <c r="T254" s="80"/>
      <c r="U254" s="229" t="str">
        <f t="shared" si="76"/>
        <v/>
      </c>
      <c r="V254" s="229" t="str">
        <f t="shared" si="77"/>
        <v/>
      </c>
      <c r="W254" s="229" t="str">
        <f t="shared" si="78"/>
        <v/>
      </c>
      <c r="X254" s="97" t="str">
        <f t="shared" si="79"/>
        <v/>
      </c>
    </row>
    <row r="255" spans="1:24" x14ac:dyDescent="0.2">
      <c r="A255" s="80">
        <f t="shared" si="60"/>
        <v>242</v>
      </c>
      <c r="B255" s="80"/>
      <c r="C255" s="229" t="str">
        <f t="shared" si="61"/>
        <v/>
      </c>
      <c r="D255" s="229" t="str">
        <f t="shared" si="62"/>
        <v/>
      </c>
      <c r="E255" s="229" t="str">
        <f t="shared" si="63"/>
        <v/>
      </c>
      <c r="F255" s="97" t="str">
        <f t="shared" si="64"/>
        <v/>
      </c>
      <c r="G255" s="80">
        <f t="shared" si="65"/>
        <v>242</v>
      </c>
      <c r="H255" s="80"/>
      <c r="I255" s="229" t="str">
        <f t="shared" si="66"/>
        <v/>
      </c>
      <c r="J255" s="229" t="str">
        <f t="shared" si="67"/>
        <v/>
      </c>
      <c r="K255" s="229" t="str">
        <f t="shared" si="68"/>
        <v/>
      </c>
      <c r="L255" s="97" t="str">
        <f t="shared" si="69"/>
        <v/>
      </c>
      <c r="M255" s="80">
        <f t="shared" si="70"/>
        <v>242</v>
      </c>
      <c r="N255" s="80"/>
      <c r="O255" s="229" t="str">
        <f t="shared" si="71"/>
        <v/>
      </c>
      <c r="P255" s="229" t="str">
        <f t="shared" si="72"/>
        <v/>
      </c>
      <c r="Q255" s="229" t="str">
        <f t="shared" si="73"/>
        <v/>
      </c>
      <c r="R255" s="97" t="str">
        <f t="shared" si="74"/>
        <v/>
      </c>
      <c r="S255" s="80">
        <f t="shared" si="75"/>
        <v>242</v>
      </c>
      <c r="T255" s="80"/>
      <c r="U255" s="229" t="str">
        <f t="shared" si="76"/>
        <v/>
      </c>
      <c r="V255" s="229" t="str">
        <f t="shared" si="77"/>
        <v/>
      </c>
      <c r="W255" s="229" t="str">
        <f t="shared" si="78"/>
        <v/>
      </c>
      <c r="X255" s="97" t="str">
        <f t="shared" si="79"/>
        <v/>
      </c>
    </row>
    <row r="256" spans="1:24" x14ac:dyDescent="0.2">
      <c r="A256" s="80">
        <f t="shared" si="60"/>
        <v>243</v>
      </c>
      <c r="B256" s="80"/>
      <c r="C256" s="229" t="str">
        <f t="shared" si="61"/>
        <v/>
      </c>
      <c r="D256" s="229" t="str">
        <f t="shared" si="62"/>
        <v/>
      </c>
      <c r="E256" s="229" t="str">
        <f t="shared" si="63"/>
        <v/>
      </c>
      <c r="F256" s="97" t="str">
        <f t="shared" si="64"/>
        <v/>
      </c>
      <c r="G256" s="80">
        <f t="shared" si="65"/>
        <v>243</v>
      </c>
      <c r="H256" s="80"/>
      <c r="I256" s="229" t="str">
        <f t="shared" si="66"/>
        <v/>
      </c>
      <c r="J256" s="229" t="str">
        <f t="shared" si="67"/>
        <v/>
      </c>
      <c r="K256" s="229" t="str">
        <f t="shared" si="68"/>
        <v/>
      </c>
      <c r="L256" s="97" t="str">
        <f t="shared" si="69"/>
        <v/>
      </c>
      <c r="M256" s="80">
        <f t="shared" si="70"/>
        <v>243</v>
      </c>
      <c r="N256" s="80"/>
      <c r="O256" s="229" t="str">
        <f t="shared" si="71"/>
        <v/>
      </c>
      <c r="P256" s="229" t="str">
        <f t="shared" si="72"/>
        <v/>
      </c>
      <c r="Q256" s="229" t="str">
        <f t="shared" si="73"/>
        <v/>
      </c>
      <c r="R256" s="97" t="str">
        <f t="shared" si="74"/>
        <v/>
      </c>
      <c r="S256" s="80">
        <f t="shared" si="75"/>
        <v>243</v>
      </c>
      <c r="T256" s="80"/>
      <c r="U256" s="229" t="str">
        <f t="shared" si="76"/>
        <v/>
      </c>
      <c r="V256" s="229" t="str">
        <f t="shared" si="77"/>
        <v/>
      </c>
      <c r="W256" s="229" t="str">
        <f t="shared" si="78"/>
        <v/>
      </c>
      <c r="X256" s="97" t="str">
        <f t="shared" si="79"/>
        <v/>
      </c>
    </row>
    <row r="257" spans="1:24" x14ac:dyDescent="0.2">
      <c r="A257" s="80">
        <f t="shared" si="60"/>
        <v>244</v>
      </c>
      <c r="B257" s="80"/>
      <c r="C257" s="229" t="str">
        <f t="shared" si="61"/>
        <v/>
      </c>
      <c r="D257" s="229" t="str">
        <f t="shared" si="62"/>
        <v/>
      </c>
      <c r="E257" s="229" t="str">
        <f t="shared" si="63"/>
        <v/>
      </c>
      <c r="F257" s="97" t="str">
        <f t="shared" si="64"/>
        <v/>
      </c>
      <c r="G257" s="80">
        <f t="shared" si="65"/>
        <v>244</v>
      </c>
      <c r="H257" s="80"/>
      <c r="I257" s="229" t="str">
        <f t="shared" si="66"/>
        <v/>
      </c>
      <c r="J257" s="229" t="str">
        <f t="shared" si="67"/>
        <v/>
      </c>
      <c r="K257" s="229" t="str">
        <f t="shared" si="68"/>
        <v/>
      </c>
      <c r="L257" s="97" t="str">
        <f t="shared" si="69"/>
        <v/>
      </c>
      <c r="M257" s="80">
        <f t="shared" si="70"/>
        <v>244</v>
      </c>
      <c r="N257" s="80"/>
      <c r="O257" s="229" t="str">
        <f t="shared" si="71"/>
        <v/>
      </c>
      <c r="P257" s="229" t="str">
        <f t="shared" si="72"/>
        <v/>
      </c>
      <c r="Q257" s="229" t="str">
        <f t="shared" si="73"/>
        <v/>
      </c>
      <c r="R257" s="97" t="str">
        <f t="shared" si="74"/>
        <v/>
      </c>
      <c r="S257" s="80">
        <f t="shared" si="75"/>
        <v>244</v>
      </c>
      <c r="T257" s="80"/>
      <c r="U257" s="229" t="str">
        <f t="shared" si="76"/>
        <v/>
      </c>
      <c r="V257" s="229" t="str">
        <f t="shared" si="77"/>
        <v/>
      </c>
      <c r="W257" s="229" t="str">
        <f t="shared" si="78"/>
        <v/>
      </c>
      <c r="X257" s="97" t="str">
        <f t="shared" si="79"/>
        <v/>
      </c>
    </row>
    <row r="258" spans="1:24" x14ac:dyDescent="0.2">
      <c r="A258" s="80">
        <f t="shared" si="60"/>
        <v>245</v>
      </c>
      <c r="B258" s="80"/>
      <c r="C258" s="229" t="str">
        <f t="shared" si="61"/>
        <v/>
      </c>
      <c r="D258" s="229" t="str">
        <f t="shared" si="62"/>
        <v/>
      </c>
      <c r="E258" s="229" t="str">
        <f t="shared" si="63"/>
        <v/>
      </c>
      <c r="F258" s="97" t="str">
        <f t="shared" si="64"/>
        <v/>
      </c>
      <c r="G258" s="80">
        <f t="shared" si="65"/>
        <v>245</v>
      </c>
      <c r="H258" s="80"/>
      <c r="I258" s="229" t="str">
        <f t="shared" si="66"/>
        <v/>
      </c>
      <c r="J258" s="229" t="str">
        <f t="shared" si="67"/>
        <v/>
      </c>
      <c r="K258" s="229" t="str">
        <f t="shared" si="68"/>
        <v/>
      </c>
      <c r="L258" s="97" t="str">
        <f t="shared" si="69"/>
        <v/>
      </c>
      <c r="M258" s="80">
        <f t="shared" si="70"/>
        <v>245</v>
      </c>
      <c r="N258" s="80"/>
      <c r="O258" s="229" t="str">
        <f t="shared" si="71"/>
        <v/>
      </c>
      <c r="P258" s="229" t="str">
        <f t="shared" si="72"/>
        <v/>
      </c>
      <c r="Q258" s="229" t="str">
        <f t="shared" si="73"/>
        <v/>
      </c>
      <c r="R258" s="97" t="str">
        <f t="shared" si="74"/>
        <v/>
      </c>
      <c r="S258" s="80">
        <f t="shared" si="75"/>
        <v>245</v>
      </c>
      <c r="T258" s="80"/>
      <c r="U258" s="229" t="str">
        <f t="shared" si="76"/>
        <v/>
      </c>
      <c r="V258" s="229" t="str">
        <f t="shared" si="77"/>
        <v/>
      </c>
      <c r="W258" s="229" t="str">
        <f t="shared" si="78"/>
        <v/>
      </c>
      <c r="X258" s="97" t="str">
        <f t="shared" si="79"/>
        <v/>
      </c>
    </row>
    <row r="259" spans="1:24" x14ac:dyDescent="0.2">
      <c r="A259" s="80">
        <f t="shared" si="60"/>
        <v>246</v>
      </c>
      <c r="B259" s="80"/>
      <c r="C259" s="229" t="str">
        <f t="shared" si="61"/>
        <v/>
      </c>
      <c r="D259" s="229" t="str">
        <f t="shared" si="62"/>
        <v/>
      </c>
      <c r="E259" s="229" t="str">
        <f t="shared" si="63"/>
        <v/>
      </c>
      <c r="F259" s="97" t="str">
        <f t="shared" si="64"/>
        <v/>
      </c>
      <c r="G259" s="80">
        <f t="shared" si="65"/>
        <v>246</v>
      </c>
      <c r="H259" s="80"/>
      <c r="I259" s="229" t="str">
        <f t="shared" si="66"/>
        <v/>
      </c>
      <c r="J259" s="229" t="str">
        <f t="shared" si="67"/>
        <v/>
      </c>
      <c r="K259" s="229" t="str">
        <f t="shared" si="68"/>
        <v/>
      </c>
      <c r="L259" s="97" t="str">
        <f t="shared" si="69"/>
        <v/>
      </c>
      <c r="M259" s="80">
        <f t="shared" si="70"/>
        <v>246</v>
      </c>
      <c r="N259" s="80"/>
      <c r="O259" s="229" t="str">
        <f t="shared" si="71"/>
        <v/>
      </c>
      <c r="P259" s="229" t="str">
        <f t="shared" si="72"/>
        <v/>
      </c>
      <c r="Q259" s="229" t="str">
        <f t="shared" si="73"/>
        <v/>
      </c>
      <c r="R259" s="97" t="str">
        <f t="shared" si="74"/>
        <v/>
      </c>
      <c r="S259" s="80">
        <f t="shared" si="75"/>
        <v>246</v>
      </c>
      <c r="T259" s="80"/>
      <c r="U259" s="229" t="str">
        <f t="shared" si="76"/>
        <v/>
      </c>
      <c r="V259" s="229" t="str">
        <f t="shared" si="77"/>
        <v/>
      </c>
      <c r="W259" s="229" t="str">
        <f t="shared" si="78"/>
        <v/>
      </c>
      <c r="X259" s="97" t="str">
        <f t="shared" si="79"/>
        <v/>
      </c>
    </row>
    <row r="260" spans="1:24" x14ac:dyDescent="0.2">
      <c r="A260" s="80">
        <f t="shared" si="60"/>
        <v>247</v>
      </c>
      <c r="B260" s="80"/>
      <c r="C260" s="229" t="str">
        <f t="shared" si="61"/>
        <v/>
      </c>
      <c r="D260" s="229" t="str">
        <f t="shared" si="62"/>
        <v/>
      </c>
      <c r="E260" s="229" t="str">
        <f t="shared" si="63"/>
        <v/>
      </c>
      <c r="F260" s="97" t="str">
        <f t="shared" si="64"/>
        <v/>
      </c>
      <c r="G260" s="80">
        <f t="shared" si="65"/>
        <v>247</v>
      </c>
      <c r="H260" s="80"/>
      <c r="I260" s="229" t="str">
        <f t="shared" si="66"/>
        <v/>
      </c>
      <c r="J260" s="229" t="str">
        <f t="shared" si="67"/>
        <v/>
      </c>
      <c r="K260" s="229" t="str">
        <f t="shared" si="68"/>
        <v/>
      </c>
      <c r="L260" s="97" t="str">
        <f t="shared" si="69"/>
        <v/>
      </c>
      <c r="M260" s="80">
        <f t="shared" si="70"/>
        <v>247</v>
      </c>
      <c r="N260" s="80"/>
      <c r="O260" s="229" t="str">
        <f t="shared" si="71"/>
        <v/>
      </c>
      <c r="P260" s="229" t="str">
        <f t="shared" si="72"/>
        <v/>
      </c>
      <c r="Q260" s="229" t="str">
        <f t="shared" si="73"/>
        <v/>
      </c>
      <c r="R260" s="97" t="str">
        <f t="shared" si="74"/>
        <v/>
      </c>
      <c r="S260" s="80">
        <f t="shared" si="75"/>
        <v>247</v>
      </c>
      <c r="T260" s="80"/>
      <c r="U260" s="229" t="str">
        <f t="shared" si="76"/>
        <v/>
      </c>
      <c r="V260" s="229" t="str">
        <f t="shared" si="77"/>
        <v/>
      </c>
      <c r="W260" s="229" t="str">
        <f t="shared" si="78"/>
        <v/>
      </c>
      <c r="X260" s="97" t="str">
        <f t="shared" si="79"/>
        <v/>
      </c>
    </row>
    <row r="261" spans="1:24" x14ac:dyDescent="0.2">
      <c r="A261" s="80">
        <f t="shared" si="60"/>
        <v>248</v>
      </c>
      <c r="B261" s="80"/>
      <c r="C261" s="229" t="str">
        <f t="shared" si="61"/>
        <v/>
      </c>
      <c r="D261" s="229" t="str">
        <f t="shared" si="62"/>
        <v/>
      </c>
      <c r="E261" s="229" t="str">
        <f t="shared" si="63"/>
        <v/>
      </c>
      <c r="F261" s="97" t="str">
        <f t="shared" si="64"/>
        <v/>
      </c>
      <c r="G261" s="80">
        <f t="shared" si="65"/>
        <v>248</v>
      </c>
      <c r="H261" s="80"/>
      <c r="I261" s="229" t="str">
        <f t="shared" si="66"/>
        <v/>
      </c>
      <c r="J261" s="229" t="str">
        <f t="shared" si="67"/>
        <v/>
      </c>
      <c r="K261" s="229" t="str">
        <f t="shared" si="68"/>
        <v/>
      </c>
      <c r="L261" s="97" t="str">
        <f t="shared" si="69"/>
        <v/>
      </c>
      <c r="M261" s="80">
        <f t="shared" si="70"/>
        <v>248</v>
      </c>
      <c r="N261" s="80"/>
      <c r="O261" s="229" t="str">
        <f t="shared" si="71"/>
        <v/>
      </c>
      <c r="P261" s="229" t="str">
        <f t="shared" si="72"/>
        <v/>
      </c>
      <c r="Q261" s="229" t="str">
        <f t="shared" si="73"/>
        <v/>
      </c>
      <c r="R261" s="97" t="str">
        <f t="shared" si="74"/>
        <v/>
      </c>
      <c r="S261" s="80">
        <f t="shared" si="75"/>
        <v>248</v>
      </c>
      <c r="T261" s="80"/>
      <c r="U261" s="229" t="str">
        <f t="shared" si="76"/>
        <v/>
      </c>
      <c r="V261" s="229" t="str">
        <f t="shared" si="77"/>
        <v/>
      </c>
      <c r="W261" s="229" t="str">
        <f t="shared" si="78"/>
        <v/>
      </c>
      <c r="X261" s="97" t="str">
        <f t="shared" si="79"/>
        <v/>
      </c>
    </row>
    <row r="262" spans="1:24" x14ac:dyDescent="0.2">
      <c r="A262" s="80">
        <f t="shared" si="60"/>
        <v>249</v>
      </c>
      <c r="B262" s="80"/>
      <c r="C262" s="229" t="str">
        <f t="shared" si="61"/>
        <v/>
      </c>
      <c r="D262" s="229" t="str">
        <f t="shared" si="62"/>
        <v/>
      </c>
      <c r="E262" s="229" t="str">
        <f t="shared" si="63"/>
        <v/>
      </c>
      <c r="F262" s="97" t="str">
        <f t="shared" si="64"/>
        <v/>
      </c>
      <c r="G262" s="80">
        <f t="shared" si="65"/>
        <v>249</v>
      </c>
      <c r="H262" s="80"/>
      <c r="I262" s="229" t="str">
        <f t="shared" si="66"/>
        <v/>
      </c>
      <c r="J262" s="229" t="str">
        <f t="shared" si="67"/>
        <v/>
      </c>
      <c r="K262" s="229" t="str">
        <f t="shared" si="68"/>
        <v/>
      </c>
      <c r="L262" s="97" t="str">
        <f t="shared" si="69"/>
        <v/>
      </c>
      <c r="M262" s="80">
        <f t="shared" si="70"/>
        <v>249</v>
      </c>
      <c r="N262" s="80"/>
      <c r="O262" s="229" t="str">
        <f t="shared" si="71"/>
        <v/>
      </c>
      <c r="P262" s="229" t="str">
        <f t="shared" si="72"/>
        <v/>
      </c>
      <c r="Q262" s="229" t="str">
        <f t="shared" si="73"/>
        <v/>
      </c>
      <c r="R262" s="97" t="str">
        <f t="shared" si="74"/>
        <v/>
      </c>
      <c r="S262" s="80">
        <f t="shared" si="75"/>
        <v>249</v>
      </c>
      <c r="T262" s="80"/>
      <c r="U262" s="229" t="str">
        <f t="shared" si="76"/>
        <v/>
      </c>
      <c r="V262" s="229" t="str">
        <f t="shared" si="77"/>
        <v/>
      </c>
      <c r="W262" s="229" t="str">
        <f t="shared" si="78"/>
        <v/>
      </c>
      <c r="X262" s="97" t="str">
        <f t="shared" si="79"/>
        <v/>
      </c>
    </row>
    <row r="263" spans="1:24" x14ac:dyDescent="0.2">
      <c r="A263" s="80">
        <f t="shared" si="60"/>
        <v>250</v>
      </c>
      <c r="B263" s="80"/>
      <c r="C263" s="229" t="str">
        <f t="shared" si="61"/>
        <v/>
      </c>
      <c r="D263" s="229" t="str">
        <f t="shared" si="62"/>
        <v/>
      </c>
      <c r="E263" s="229" t="str">
        <f t="shared" si="63"/>
        <v/>
      </c>
      <c r="F263" s="97" t="str">
        <f t="shared" si="64"/>
        <v/>
      </c>
      <c r="G263" s="80">
        <f t="shared" si="65"/>
        <v>250</v>
      </c>
      <c r="H263" s="80"/>
      <c r="I263" s="229" t="str">
        <f t="shared" si="66"/>
        <v/>
      </c>
      <c r="J263" s="229" t="str">
        <f t="shared" si="67"/>
        <v/>
      </c>
      <c r="K263" s="229" t="str">
        <f t="shared" si="68"/>
        <v/>
      </c>
      <c r="L263" s="97" t="str">
        <f t="shared" si="69"/>
        <v/>
      </c>
      <c r="M263" s="80">
        <f t="shared" si="70"/>
        <v>250</v>
      </c>
      <c r="N263" s="80"/>
      <c r="O263" s="229" t="str">
        <f t="shared" si="71"/>
        <v/>
      </c>
      <c r="P263" s="229" t="str">
        <f t="shared" si="72"/>
        <v/>
      </c>
      <c r="Q263" s="229" t="str">
        <f t="shared" si="73"/>
        <v/>
      </c>
      <c r="R263" s="97" t="str">
        <f t="shared" si="74"/>
        <v/>
      </c>
      <c r="S263" s="80">
        <f t="shared" si="75"/>
        <v>250</v>
      </c>
      <c r="T263" s="80"/>
      <c r="U263" s="229" t="str">
        <f t="shared" si="76"/>
        <v/>
      </c>
      <c r="V263" s="229" t="str">
        <f t="shared" si="77"/>
        <v/>
      </c>
      <c r="W263" s="229" t="str">
        <f t="shared" si="78"/>
        <v/>
      </c>
      <c r="X263" s="97" t="str">
        <f t="shared" si="79"/>
        <v/>
      </c>
    </row>
    <row r="264" spans="1:24" x14ac:dyDescent="0.2">
      <c r="A264" s="80">
        <f t="shared" si="60"/>
        <v>251</v>
      </c>
      <c r="B264" s="80"/>
      <c r="C264" s="229" t="str">
        <f t="shared" si="61"/>
        <v/>
      </c>
      <c r="D264" s="229" t="str">
        <f t="shared" si="62"/>
        <v/>
      </c>
      <c r="E264" s="229" t="str">
        <f t="shared" si="63"/>
        <v/>
      </c>
      <c r="F264" s="97" t="str">
        <f t="shared" si="64"/>
        <v/>
      </c>
      <c r="G264" s="80">
        <f t="shared" si="65"/>
        <v>251</v>
      </c>
      <c r="H264" s="80"/>
      <c r="I264" s="229" t="str">
        <f t="shared" si="66"/>
        <v/>
      </c>
      <c r="J264" s="229" t="str">
        <f t="shared" si="67"/>
        <v/>
      </c>
      <c r="K264" s="229" t="str">
        <f t="shared" si="68"/>
        <v/>
      </c>
      <c r="L264" s="97" t="str">
        <f t="shared" si="69"/>
        <v/>
      </c>
      <c r="M264" s="80">
        <f t="shared" si="70"/>
        <v>251</v>
      </c>
      <c r="N264" s="80"/>
      <c r="O264" s="229" t="str">
        <f t="shared" si="71"/>
        <v/>
      </c>
      <c r="P264" s="229" t="str">
        <f t="shared" si="72"/>
        <v/>
      </c>
      <c r="Q264" s="229" t="str">
        <f t="shared" si="73"/>
        <v/>
      </c>
      <c r="R264" s="97" t="str">
        <f t="shared" si="74"/>
        <v/>
      </c>
      <c r="S264" s="80">
        <f t="shared" si="75"/>
        <v>251</v>
      </c>
      <c r="T264" s="80"/>
      <c r="U264" s="229" t="str">
        <f t="shared" si="76"/>
        <v/>
      </c>
      <c r="V264" s="229" t="str">
        <f t="shared" si="77"/>
        <v/>
      </c>
      <c r="W264" s="229" t="str">
        <f t="shared" si="78"/>
        <v/>
      </c>
      <c r="X264" s="97" t="str">
        <f t="shared" si="79"/>
        <v/>
      </c>
    </row>
    <row r="265" spans="1:24" x14ac:dyDescent="0.2">
      <c r="A265" s="80">
        <f t="shared" si="60"/>
        <v>252</v>
      </c>
      <c r="B265" s="80"/>
      <c r="C265" s="229" t="str">
        <f t="shared" si="61"/>
        <v/>
      </c>
      <c r="D265" s="229" t="str">
        <f t="shared" si="62"/>
        <v/>
      </c>
      <c r="E265" s="229" t="str">
        <f t="shared" si="63"/>
        <v/>
      </c>
      <c r="F265" s="97" t="str">
        <f t="shared" si="64"/>
        <v/>
      </c>
      <c r="G265" s="80">
        <f t="shared" si="65"/>
        <v>252</v>
      </c>
      <c r="H265" s="80"/>
      <c r="I265" s="229" t="str">
        <f t="shared" si="66"/>
        <v/>
      </c>
      <c r="J265" s="229" t="str">
        <f t="shared" si="67"/>
        <v/>
      </c>
      <c r="K265" s="229" t="str">
        <f t="shared" si="68"/>
        <v/>
      </c>
      <c r="L265" s="97" t="str">
        <f t="shared" si="69"/>
        <v/>
      </c>
      <c r="M265" s="80">
        <f t="shared" si="70"/>
        <v>252</v>
      </c>
      <c r="N265" s="80"/>
      <c r="O265" s="229" t="str">
        <f t="shared" si="71"/>
        <v/>
      </c>
      <c r="P265" s="229" t="str">
        <f t="shared" si="72"/>
        <v/>
      </c>
      <c r="Q265" s="229" t="str">
        <f t="shared" si="73"/>
        <v/>
      </c>
      <c r="R265" s="97" t="str">
        <f t="shared" si="74"/>
        <v/>
      </c>
      <c r="S265" s="80">
        <f t="shared" si="75"/>
        <v>252</v>
      </c>
      <c r="T265" s="80"/>
      <c r="U265" s="229" t="str">
        <f t="shared" si="76"/>
        <v/>
      </c>
      <c r="V265" s="229" t="str">
        <f t="shared" si="77"/>
        <v/>
      </c>
      <c r="W265" s="229" t="str">
        <f t="shared" si="78"/>
        <v/>
      </c>
      <c r="X265" s="97" t="str">
        <f t="shared" si="79"/>
        <v/>
      </c>
    </row>
    <row r="266" spans="1:24" x14ac:dyDescent="0.2">
      <c r="A266" s="80">
        <f t="shared" si="60"/>
        <v>253</v>
      </c>
      <c r="B266" s="80"/>
      <c r="C266" s="229" t="str">
        <f t="shared" si="61"/>
        <v/>
      </c>
      <c r="D266" s="229" t="str">
        <f t="shared" si="62"/>
        <v/>
      </c>
      <c r="E266" s="229" t="str">
        <f t="shared" si="63"/>
        <v/>
      </c>
      <c r="F266" s="97" t="str">
        <f t="shared" si="64"/>
        <v/>
      </c>
      <c r="G266" s="80">
        <f t="shared" si="65"/>
        <v>253</v>
      </c>
      <c r="H266" s="80"/>
      <c r="I266" s="229" t="str">
        <f t="shared" si="66"/>
        <v/>
      </c>
      <c r="J266" s="229" t="str">
        <f t="shared" si="67"/>
        <v/>
      </c>
      <c r="K266" s="229" t="str">
        <f t="shared" si="68"/>
        <v/>
      </c>
      <c r="L266" s="97" t="str">
        <f t="shared" si="69"/>
        <v/>
      </c>
      <c r="M266" s="80">
        <f t="shared" si="70"/>
        <v>253</v>
      </c>
      <c r="N266" s="80"/>
      <c r="O266" s="229" t="str">
        <f t="shared" si="71"/>
        <v/>
      </c>
      <c r="P266" s="229" t="str">
        <f t="shared" si="72"/>
        <v/>
      </c>
      <c r="Q266" s="229" t="str">
        <f t="shared" si="73"/>
        <v/>
      </c>
      <c r="R266" s="97" t="str">
        <f t="shared" si="74"/>
        <v/>
      </c>
      <c r="S266" s="80">
        <f t="shared" si="75"/>
        <v>253</v>
      </c>
      <c r="T266" s="80"/>
      <c r="U266" s="229" t="str">
        <f t="shared" si="76"/>
        <v/>
      </c>
      <c r="V266" s="229" t="str">
        <f t="shared" si="77"/>
        <v/>
      </c>
      <c r="W266" s="229" t="str">
        <f t="shared" si="78"/>
        <v/>
      </c>
      <c r="X266" s="97" t="str">
        <f t="shared" si="79"/>
        <v/>
      </c>
    </row>
    <row r="267" spans="1:24" x14ac:dyDescent="0.2">
      <c r="A267" s="80">
        <f t="shared" si="60"/>
        <v>254</v>
      </c>
      <c r="B267" s="80"/>
      <c r="C267" s="229" t="str">
        <f t="shared" si="61"/>
        <v/>
      </c>
      <c r="D267" s="229" t="str">
        <f t="shared" si="62"/>
        <v/>
      </c>
      <c r="E267" s="229" t="str">
        <f t="shared" si="63"/>
        <v/>
      </c>
      <c r="F267" s="97" t="str">
        <f t="shared" si="64"/>
        <v/>
      </c>
      <c r="G267" s="80">
        <f t="shared" si="65"/>
        <v>254</v>
      </c>
      <c r="H267" s="80"/>
      <c r="I267" s="229" t="str">
        <f t="shared" si="66"/>
        <v/>
      </c>
      <c r="J267" s="229" t="str">
        <f t="shared" si="67"/>
        <v/>
      </c>
      <c r="K267" s="229" t="str">
        <f t="shared" si="68"/>
        <v/>
      </c>
      <c r="L267" s="97" t="str">
        <f t="shared" si="69"/>
        <v/>
      </c>
      <c r="M267" s="80">
        <f t="shared" si="70"/>
        <v>254</v>
      </c>
      <c r="N267" s="80"/>
      <c r="O267" s="229" t="str">
        <f t="shared" si="71"/>
        <v/>
      </c>
      <c r="P267" s="229" t="str">
        <f t="shared" si="72"/>
        <v/>
      </c>
      <c r="Q267" s="229" t="str">
        <f t="shared" si="73"/>
        <v/>
      </c>
      <c r="R267" s="97" t="str">
        <f t="shared" si="74"/>
        <v/>
      </c>
      <c r="S267" s="80">
        <f t="shared" si="75"/>
        <v>254</v>
      </c>
      <c r="T267" s="80"/>
      <c r="U267" s="229" t="str">
        <f t="shared" si="76"/>
        <v/>
      </c>
      <c r="V267" s="229" t="str">
        <f t="shared" si="77"/>
        <v/>
      </c>
      <c r="W267" s="229" t="str">
        <f t="shared" si="78"/>
        <v/>
      </c>
      <c r="X267" s="97" t="str">
        <f t="shared" si="79"/>
        <v/>
      </c>
    </row>
    <row r="268" spans="1:24" x14ac:dyDescent="0.2">
      <c r="A268" s="80">
        <f t="shared" si="60"/>
        <v>255</v>
      </c>
      <c r="B268" s="80"/>
      <c r="C268" s="229" t="str">
        <f t="shared" si="61"/>
        <v/>
      </c>
      <c r="D268" s="229" t="str">
        <f t="shared" si="62"/>
        <v/>
      </c>
      <c r="E268" s="229" t="str">
        <f t="shared" si="63"/>
        <v/>
      </c>
      <c r="F268" s="97" t="str">
        <f t="shared" si="64"/>
        <v/>
      </c>
      <c r="G268" s="80">
        <f t="shared" si="65"/>
        <v>255</v>
      </c>
      <c r="H268" s="80"/>
      <c r="I268" s="229" t="str">
        <f t="shared" si="66"/>
        <v/>
      </c>
      <c r="J268" s="229" t="str">
        <f t="shared" si="67"/>
        <v/>
      </c>
      <c r="K268" s="229" t="str">
        <f t="shared" si="68"/>
        <v/>
      </c>
      <c r="L268" s="97" t="str">
        <f t="shared" si="69"/>
        <v/>
      </c>
      <c r="M268" s="80">
        <f t="shared" si="70"/>
        <v>255</v>
      </c>
      <c r="N268" s="80"/>
      <c r="O268" s="229" t="str">
        <f t="shared" si="71"/>
        <v/>
      </c>
      <c r="P268" s="229" t="str">
        <f t="shared" si="72"/>
        <v/>
      </c>
      <c r="Q268" s="229" t="str">
        <f t="shared" si="73"/>
        <v/>
      </c>
      <c r="R268" s="97" t="str">
        <f t="shared" si="74"/>
        <v/>
      </c>
      <c r="S268" s="80">
        <f t="shared" si="75"/>
        <v>255</v>
      </c>
      <c r="T268" s="80"/>
      <c r="U268" s="229" t="str">
        <f t="shared" si="76"/>
        <v/>
      </c>
      <c r="V268" s="229" t="str">
        <f t="shared" si="77"/>
        <v/>
      </c>
      <c r="W268" s="229" t="str">
        <f t="shared" si="78"/>
        <v/>
      </c>
      <c r="X268" s="97" t="str">
        <f t="shared" si="79"/>
        <v/>
      </c>
    </row>
    <row r="269" spans="1:24" x14ac:dyDescent="0.2">
      <c r="A269" s="80">
        <f t="shared" si="60"/>
        <v>256</v>
      </c>
      <c r="B269" s="80"/>
      <c r="C269" s="229" t="str">
        <f t="shared" si="61"/>
        <v/>
      </c>
      <c r="D269" s="229" t="str">
        <f t="shared" si="62"/>
        <v/>
      </c>
      <c r="E269" s="229" t="str">
        <f t="shared" si="63"/>
        <v/>
      </c>
      <c r="F269" s="97" t="str">
        <f t="shared" si="64"/>
        <v/>
      </c>
      <c r="G269" s="80">
        <f t="shared" si="65"/>
        <v>256</v>
      </c>
      <c r="H269" s="80"/>
      <c r="I269" s="229" t="str">
        <f t="shared" si="66"/>
        <v/>
      </c>
      <c r="J269" s="229" t="str">
        <f t="shared" si="67"/>
        <v/>
      </c>
      <c r="K269" s="229" t="str">
        <f t="shared" si="68"/>
        <v/>
      </c>
      <c r="L269" s="97" t="str">
        <f t="shared" si="69"/>
        <v/>
      </c>
      <c r="M269" s="80">
        <f t="shared" si="70"/>
        <v>256</v>
      </c>
      <c r="N269" s="80"/>
      <c r="O269" s="229" t="str">
        <f t="shared" si="71"/>
        <v/>
      </c>
      <c r="P269" s="229" t="str">
        <f t="shared" si="72"/>
        <v/>
      </c>
      <c r="Q269" s="229" t="str">
        <f t="shared" si="73"/>
        <v/>
      </c>
      <c r="R269" s="97" t="str">
        <f t="shared" si="74"/>
        <v/>
      </c>
      <c r="S269" s="80">
        <f t="shared" si="75"/>
        <v>256</v>
      </c>
      <c r="T269" s="80"/>
      <c r="U269" s="229" t="str">
        <f t="shared" si="76"/>
        <v/>
      </c>
      <c r="V269" s="229" t="str">
        <f t="shared" si="77"/>
        <v/>
      </c>
      <c r="W269" s="229" t="str">
        <f t="shared" si="78"/>
        <v/>
      </c>
      <c r="X269" s="97" t="str">
        <f t="shared" si="79"/>
        <v/>
      </c>
    </row>
    <row r="270" spans="1:24" x14ac:dyDescent="0.2">
      <c r="A270" s="80">
        <f t="shared" si="60"/>
        <v>257</v>
      </c>
      <c r="B270" s="80"/>
      <c r="C270" s="229" t="str">
        <f t="shared" si="61"/>
        <v/>
      </c>
      <c r="D270" s="229" t="str">
        <f t="shared" si="62"/>
        <v/>
      </c>
      <c r="E270" s="229" t="str">
        <f t="shared" si="63"/>
        <v/>
      </c>
      <c r="F270" s="97" t="str">
        <f t="shared" si="64"/>
        <v/>
      </c>
      <c r="G270" s="80">
        <f t="shared" si="65"/>
        <v>257</v>
      </c>
      <c r="H270" s="80"/>
      <c r="I270" s="229" t="str">
        <f t="shared" si="66"/>
        <v/>
      </c>
      <c r="J270" s="229" t="str">
        <f t="shared" si="67"/>
        <v/>
      </c>
      <c r="K270" s="229" t="str">
        <f t="shared" si="68"/>
        <v/>
      </c>
      <c r="L270" s="97" t="str">
        <f t="shared" si="69"/>
        <v/>
      </c>
      <c r="M270" s="80">
        <f t="shared" si="70"/>
        <v>257</v>
      </c>
      <c r="N270" s="80"/>
      <c r="O270" s="229" t="str">
        <f t="shared" si="71"/>
        <v/>
      </c>
      <c r="P270" s="229" t="str">
        <f t="shared" si="72"/>
        <v/>
      </c>
      <c r="Q270" s="229" t="str">
        <f t="shared" si="73"/>
        <v/>
      </c>
      <c r="R270" s="97" t="str">
        <f t="shared" si="74"/>
        <v/>
      </c>
      <c r="S270" s="80">
        <f t="shared" si="75"/>
        <v>257</v>
      </c>
      <c r="T270" s="80"/>
      <c r="U270" s="229" t="str">
        <f t="shared" si="76"/>
        <v/>
      </c>
      <c r="V270" s="229" t="str">
        <f t="shared" si="77"/>
        <v/>
      </c>
      <c r="W270" s="229" t="str">
        <f t="shared" si="78"/>
        <v/>
      </c>
      <c r="X270" s="97" t="str">
        <f t="shared" si="79"/>
        <v/>
      </c>
    </row>
    <row r="271" spans="1:24" x14ac:dyDescent="0.2">
      <c r="A271" s="80">
        <f t="shared" ref="A271:A334" si="80">IF(A270&lt;D$8*12,A270+1,"")</f>
        <v>258</v>
      </c>
      <c r="B271" s="80"/>
      <c r="C271" s="229" t="str">
        <f t="shared" ref="C271:C334" si="81">IF(F270=0,"",IF($A271&lt;=D$8*12,C270,""))</f>
        <v/>
      </c>
      <c r="D271" s="229" t="str">
        <f t="shared" ref="D271:D334" si="82">IF(C271="","",C271-E271)</f>
        <v/>
      </c>
      <c r="E271" s="229" t="str">
        <f t="shared" ref="E271:E334" si="83">IF(C271="","",F270*D$7/12)</f>
        <v/>
      </c>
      <c r="F271" s="97" t="str">
        <f t="shared" ref="F271:F334" si="84">IF(D$6=0,"",IF($A271&gt;D$8*12,"",D$6+CUMPRINC(D$7/12,D$8*12,D$6,1,$A271,0)))</f>
        <v/>
      </c>
      <c r="G271" s="80">
        <f t="shared" ref="G271:G334" si="85">IF(G270&lt;J$8*12,G270+1,"")</f>
        <v>258</v>
      </c>
      <c r="H271" s="80"/>
      <c r="I271" s="229" t="str">
        <f t="shared" ref="I271:I334" si="86">IF(L270=0,"",IF($A271&lt;=J$8*12,I270,""))</f>
        <v/>
      </c>
      <c r="J271" s="229" t="str">
        <f t="shared" ref="J271:J334" si="87">IF(I271="","",I271-K271)</f>
        <v/>
      </c>
      <c r="K271" s="229" t="str">
        <f t="shared" ref="K271:K334" si="88">IF(I271="","",L270*J$7/12)</f>
        <v/>
      </c>
      <c r="L271" s="97" t="str">
        <f t="shared" ref="L271:L334" si="89">IF(J$6=0,"",IF($A271&gt;J$8*12,"",J$6+CUMPRINC(J$7/12,J$8*12,J$6,1,$A271,0)))</f>
        <v/>
      </c>
      <c r="M271" s="80">
        <f t="shared" ref="M271:M334" si="90">IF(M270&lt;P$8*12,M270+1,"")</f>
        <v>258</v>
      </c>
      <c r="N271" s="80"/>
      <c r="O271" s="229" t="str">
        <f t="shared" ref="O271:O334" si="91">IF(R270=0,"",IF($A271&lt;=P$8*12,O270,""))</f>
        <v/>
      </c>
      <c r="P271" s="229" t="str">
        <f t="shared" ref="P271:P334" si="92">IF(O271="","",O271-Q271)</f>
        <v/>
      </c>
      <c r="Q271" s="229" t="str">
        <f t="shared" ref="Q271:Q334" si="93">IF(O271="","",R270*P$7/12)</f>
        <v/>
      </c>
      <c r="R271" s="97" t="str">
        <f t="shared" ref="R271:R334" si="94">IF(P$6=0,"",IF($A271&gt;P$8*12,"",P$6+CUMPRINC(P$7/12,P$8*12,P$6,1,$A271,0)))</f>
        <v/>
      </c>
      <c r="S271" s="80">
        <f t="shared" ref="S271:S334" si="95">IF(S270&lt;V$8*12,S270+1,"")</f>
        <v>258</v>
      </c>
      <c r="T271" s="80"/>
      <c r="U271" s="229" t="str">
        <f t="shared" ref="U271:U334" si="96">IF(X270=0,"",IF($A271&lt;=V$8*12,U270,""))</f>
        <v/>
      </c>
      <c r="V271" s="229" t="str">
        <f t="shared" ref="V271:V334" si="97">IF(U271="","",U271-W271)</f>
        <v/>
      </c>
      <c r="W271" s="229" t="str">
        <f t="shared" ref="W271:W334" si="98">IF(U271="","",X270*V$7/12)</f>
        <v/>
      </c>
      <c r="X271" s="97" t="str">
        <f t="shared" ref="X271:X334" si="99">IF(V$6=0,"",IF($A271&gt;V$8*12,"",V$6+CUMPRINC(V$7/12,V$8*12,V$6,1,$A271,0)))</f>
        <v/>
      </c>
    </row>
    <row r="272" spans="1:24" x14ac:dyDescent="0.2">
      <c r="A272" s="80">
        <f t="shared" si="80"/>
        <v>259</v>
      </c>
      <c r="B272" s="80"/>
      <c r="C272" s="229" t="str">
        <f t="shared" si="81"/>
        <v/>
      </c>
      <c r="D272" s="229" t="str">
        <f t="shared" si="82"/>
        <v/>
      </c>
      <c r="E272" s="229" t="str">
        <f t="shared" si="83"/>
        <v/>
      </c>
      <c r="F272" s="97" t="str">
        <f t="shared" si="84"/>
        <v/>
      </c>
      <c r="G272" s="80">
        <f t="shared" si="85"/>
        <v>259</v>
      </c>
      <c r="H272" s="80"/>
      <c r="I272" s="229" t="str">
        <f t="shared" si="86"/>
        <v/>
      </c>
      <c r="J272" s="229" t="str">
        <f t="shared" si="87"/>
        <v/>
      </c>
      <c r="K272" s="229" t="str">
        <f t="shared" si="88"/>
        <v/>
      </c>
      <c r="L272" s="97" t="str">
        <f t="shared" si="89"/>
        <v/>
      </c>
      <c r="M272" s="80">
        <f t="shared" si="90"/>
        <v>259</v>
      </c>
      <c r="N272" s="80"/>
      <c r="O272" s="229" t="str">
        <f t="shared" si="91"/>
        <v/>
      </c>
      <c r="P272" s="229" t="str">
        <f t="shared" si="92"/>
        <v/>
      </c>
      <c r="Q272" s="229" t="str">
        <f t="shared" si="93"/>
        <v/>
      </c>
      <c r="R272" s="97" t="str">
        <f t="shared" si="94"/>
        <v/>
      </c>
      <c r="S272" s="80">
        <f t="shared" si="95"/>
        <v>259</v>
      </c>
      <c r="T272" s="80"/>
      <c r="U272" s="229" t="str">
        <f t="shared" si="96"/>
        <v/>
      </c>
      <c r="V272" s="229" t="str">
        <f t="shared" si="97"/>
        <v/>
      </c>
      <c r="W272" s="229" t="str">
        <f t="shared" si="98"/>
        <v/>
      </c>
      <c r="X272" s="97" t="str">
        <f t="shared" si="99"/>
        <v/>
      </c>
    </row>
    <row r="273" spans="1:24" x14ac:dyDescent="0.2">
      <c r="A273" s="80">
        <f t="shared" si="80"/>
        <v>260</v>
      </c>
      <c r="B273" s="80"/>
      <c r="C273" s="229" t="str">
        <f t="shared" si="81"/>
        <v/>
      </c>
      <c r="D273" s="229" t="str">
        <f t="shared" si="82"/>
        <v/>
      </c>
      <c r="E273" s="229" t="str">
        <f t="shared" si="83"/>
        <v/>
      </c>
      <c r="F273" s="97" t="str">
        <f t="shared" si="84"/>
        <v/>
      </c>
      <c r="G273" s="80">
        <f t="shared" si="85"/>
        <v>260</v>
      </c>
      <c r="H273" s="80"/>
      <c r="I273" s="229" t="str">
        <f t="shared" si="86"/>
        <v/>
      </c>
      <c r="J273" s="229" t="str">
        <f t="shared" si="87"/>
        <v/>
      </c>
      <c r="K273" s="229" t="str">
        <f t="shared" si="88"/>
        <v/>
      </c>
      <c r="L273" s="97" t="str">
        <f t="shared" si="89"/>
        <v/>
      </c>
      <c r="M273" s="80">
        <f t="shared" si="90"/>
        <v>260</v>
      </c>
      <c r="N273" s="80"/>
      <c r="O273" s="229" t="str">
        <f t="shared" si="91"/>
        <v/>
      </c>
      <c r="P273" s="229" t="str">
        <f t="shared" si="92"/>
        <v/>
      </c>
      <c r="Q273" s="229" t="str">
        <f t="shared" si="93"/>
        <v/>
      </c>
      <c r="R273" s="97" t="str">
        <f t="shared" si="94"/>
        <v/>
      </c>
      <c r="S273" s="80">
        <f t="shared" si="95"/>
        <v>260</v>
      </c>
      <c r="T273" s="80"/>
      <c r="U273" s="229" t="str">
        <f t="shared" si="96"/>
        <v/>
      </c>
      <c r="V273" s="229" t="str">
        <f t="shared" si="97"/>
        <v/>
      </c>
      <c r="W273" s="229" t="str">
        <f t="shared" si="98"/>
        <v/>
      </c>
      <c r="X273" s="97" t="str">
        <f t="shared" si="99"/>
        <v/>
      </c>
    </row>
    <row r="274" spans="1:24" x14ac:dyDescent="0.2">
      <c r="A274" s="80">
        <f t="shared" si="80"/>
        <v>261</v>
      </c>
      <c r="B274" s="80"/>
      <c r="C274" s="229" t="str">
        <f t="shared" si="81"/>
        <v/>
      </c>
      <c r="D274" s="229" t="str">
        <f t="shared" si="82"/>
        <v/>
      </c>
      <c r="E274" s="229" t="str">
        <f t="shared" si="83"/>
        <v/>
      </c>
      <c r="F274" s="97" t="str">
        <f t="shared" si="84"/>
        <v/>
      </c>
      <c r="G274" s="80">
        <f t="shared" si="85"/>
        <v>261</v>
      </c>
      <c r="H274" s="80"/>
      <c r="I274" s="229" t="str">
        <f t="shared" si="86"/>
        <v/>
      </c>
      <c r="J274" s="229" t="str">
        <f t="shared" si="87"/>
        <v/>
      </c>
      <c r="K274" s="229" t="str">
        <f t="shared" si="88"/>
        <v/>
      </c>
      <c r="L274" s="97" t="str">
        <f t="shared" si="89"/>
        <v/>
      </c>
      <c r="M274" s="80">
        <f t="shared" si="90"/>
        <v>261</v>
      </c>
      <c r="N274" s="80"/>
      <c r="O274" s="229" t="str">
        <f t="shared" si="91"/>
        <v/>
      </c>
      <c r="P274" s="229" t="str">
        <f t="shared" si="92"/>
        <v/>
      </c>
      <c r="Q274" s="229" t="str">
        <f t="shared" si="93"/>
        <v/>
      </c>
      <c r="R274" s="97" t="str">
        <f t="shared" si="94"/>
        <v/>
      </c>
      <c r="S274" s="80">
        <f t="shared" si="95"/>
        <v>261</v>
      </c>
      <c r="T274" s="80"/>
      <c r="U274" s="229" t="str">
        <f t="shared" si="96"/>
        <v/>
      </c>
      <c r="V274" s="229" t="str">
        <f t="shared" si="97"/>
        <v/>
      </c>
      <c r="W274" s="229" t="str">
        <f t="shared" si="98"/>
        <v/>
      </c>
      <c r="X274" s="97" t="str">
        <f t="shared" si="99"/>
        <v/>
      </c>
    </row>
    <row r="275" spans="1:24" x14ac:dyDescent="0.2">
      <c r="A275" s="80">
        <f t="shared" si="80"/>
        <v>262</v>
      </c>
      <c r="B275" s="80"/>
      <c r="C275" s="229" t="str">
        <f t="shared" si="81"/>
        <v/>
      </c>
      <c r="D275" s="229" t="str">
        <f t="shared" si="82"/>
        <v/>
      </c>
      <c r="E275" s="229" t="str">
        <f t="shared" si="83"/>
        <v/>
      </c>
      <c r="F275" s="97" t="str">
        <f t="shared" si="84"/>
        <v/>
      </c>
      <c r="G275" s="80">
        <f t="shared" si="85"/>
        <v>262</v>
      </c>
      <c r="H275" s="80"/>
      <c r="I275" s="229" t="str">
        <f t="shared" si="86"/>
        <v/>
      </c>
      <c r="J275" s="229" t="str">
        <f t="shared" si="87"/>
        <v/>
      </c>
      <c r="K275" s="229" t="str">
        <f t="shared" si="88"/>
        <v/>
      </c>
      <c r="L275" s="97" t="str">
        <f t="shared" si="89"/>
        <v/>
      </c>
      <c r="M275" s="80">
        <f t="shared" si="90"/>
        <v>262</v>
      </c>
      <c r="N275" s="80"/>
      <c r="O275" s="229" t="str">
        <f t="shared" si="91"/>
        <v/>
      </c>
      <c r="P275" s="229" t="str">
        <f t="shared" si="92"/>
        <v/>
      </c>
      <c r="Q275" s="229" t="str">
        <f t="shared" si="93"/>
        <v/>
      </c>
      <c r="R275" s="97" t="str">
        <f t="shared" si="94"/>
        <v/>
      </c>
      <c r="S275" s="80">
        <f t="shared" si="95"/>
        <v>262</v>
      </c>
      <c r="T275" s="80"/>
      <c r="U275" s="229" t="str">
        <f t="shared" si="96"/>
        <v/>
      </c>
      <c r="V275" s="229" t="str">
        <f t="shared" si="97"/>
        <v/>
      </c>
      <c r="W275" s="229" t="str">
        <f t="shared" si="98"/>
        <v/>
      </c>
      <c r="X275" s="97" t="str">
        <f t="shared" si="99"/>
        <v/>
      </c>
    </row>
    <row r="276" spans="1:24" x14ac:dyDescent="0.2">
      <c r="A276" s="80">
        <f t="shared" si="80"/>
        <v>263</v>
      </c>
      <c r="B276" s="80"/>
      <c r="C276" s="229" t="str">
        <f t="shared" si="81"/>
        <v/>
      </c>
      <c r="D276" s="229" t="str">
        <f t="shared" si="82"/>
        <v/>
      </c>
      <c r="E276" s="229" t="str">
        <f t="shared" si="83"/>
        <v/>
      </c>
      <c r="F276" s="97" t="str">
        <f t="shared" si="84"/>
        <v/>
      </c>
      <c r="G276" s="80">
        <f t="shared" si="85"/>
        <v>263</v>
      </c>
      <c r="H276" s="80"/>
      <c r="I276" s="229" t="str">
        <f t="shared" si="86"/>
        <v/>
      </c>
      <c r="J276" s="229" t="str">
        <f t="shared" si="87"/>
        <v/>
      </c>
      <c r="K276" s="229" t="str">
        <f t="shared" si="88"/>
        <v/>
      </c>
      <c r="L276" s="97" t="str">
        <f t="shared" si="89"/>
        <v/>
      </c>
      <c r="M276" s="80">
        <f t="shared" si="90"/>
        <v>263</v>
      </c>
      <c r="N276" s="80"/>
      <c r="O276" s="229" t="str">
        <f t="shared" si="91"/>
        <v/>
      </c>
      <c r="P276" s="229" t="str">
        <f t="shared" si="92"/>
        <v/>
      </c>
      <c r="Q276" s="229" t="str">
        <f t="shared" si="93"/>
        <v/>
      </c>
      <c r="R276" s="97" t="str">
        <f t="shared" si="94"/>
        <v/>
      </c>
      <c r="S276" s="80">
        <f t="shared" si="95"/>
        <v>263</v>
      </c>
      <c r="T276" s="80"/>
      <c r="U276" s="229" t="str">
        <f t="shared" si="96"/>
        <v/>
      </c>
      <c r="V276" s="229" t="str">
        <f t="shared" si="97"/>
        <v/>
      </c>
      <c r="W276" s="229" t="str">
        <f t="shared" si="98"/>
        <v/>
      </c>
      <c r="X276" s="97" t="str">
        <f t="shared" si="99"/>
        <v/>
      </c>
    </row>
    <row r="277" spans="1:24" x14ac:dyDescent="0.2">
      <c r="A277" s="80">
        <f t="shared" si="80"/>
        <v>264</v>
      </c>
      <c r="B277" s="80"/>
      <c r="C277" s="229" t="str">
        <f t="shared" si="81"/>
        <v/>
      </c>
      <c r="D277" s="229" t="str">
        <f t="shared" si="82"/>
        <v/>
      </c>
      <c r="E277" s="229" t="str">
        <f t="shared" si="83"/>
        <v/>
      </c>
      <c r="F277" s="97" t="str">
        <f t="shared" si="84"/>
        <v/>
      </c>
      <c r="G277" s="80">
        <f t="shared" si="85"/>
        <v>264</v>
      </c>
      <c r="H277" s="80"/>
      <c r="I277" s="229" t="str">
        <f t="shared" si="86"/>
        <v/>
      </c>
      <c r="J277" s="229" t="str">
        <f t="shared" si="87"/>
        <v/>
      </c>
      <c r="K277" s="229" t="str">
        <f t="shared" si="88"/>
        <v/>
      </c>
      <c r="L277" s="97" t="str">
        <f t="shared" si="89"/>
        <v/>
      </c>
      <c r="M277" s="80">
        <f t="shared" si="90"/>
        <v>264</v>
      </c>
      <c r="N277" s="80"/>
      <c r="O277" s="229" t="str">
        <f t="shared" si="91"/>
        <v/>
      </c>
      <c r="P277" s="229" t="str">
        <f t="shared" si="92"/>
        <v/>
      </c>
      <c r="Q277" s="229" t="str">
        <f t="shared" si="93"/>
        <v/>
      </c>
      <c r="R277" s="97" t="str">
        <f t="shared" si="94"/>
        <v/>
      </c>
      <c r="S277" s="80">
        <f t="shared" si="95"/>
        <v>264</v>
      </c>
      <c r="T277" s="80"/>
      <c r="U277" s="229" t="str">
        <f t="shared" si="96"/>
        <v/>
      </c>
      <c r="V277" s="229" t="str">
        <f t="shared" si="97"/>
        <v/>
      </c>
      <c r="W277" s="229" t="str">
        <f t="shared" si="98"/>
        <v/>
      </c>
      <c r="X277" s="97" t="str">
        <f t="shared" si="99"/>
        <v/>
      </c>
    </row>
    <row r="278" spans="1:24" x14ac:dyDescent="0.2">
      <c r="A278" s="80">
        <f t="shared" si="80"/>
        <v>265</v>
      </c>
      <c r="B278" s="80"/>
      <c r="C278" s="229" t="str">
        <f t="shared" si="81"/>
        <v/>
      </c>
      <c r="D278" s="229" t="str">
        <f t="shared" si="82"/>
        <v/>
      </c>
      <c r="E278" s="229" t="str">
        <f t="shared" si="83"/>
        <v/>
      </c>
      <c r="F278" s="97" t="str">
        <f t="shared" si="84"/>
        <v/>
      </c>
      <c r="G278" s="80">
        <f t="shared" si="85"/>
        <v>265</v>
      </c>
      <c r="H278" s="80"/>
      <c r="I278" s="229" t="str">
        <f t="shared" si="86"/>
        <v/>
      </c>
      <c r="J278" s="229" t="str">
        <f t="shared" si="87"/>
        <v/>
      </c>
      <c r="K278" s="229" t="str">
        <f t="shared" si="88"/>
        <v/>
      </c>
      <c r="L278" s="97" t="str">
        <f t="shared" si="89"/>
        <v/>
      </c>
      <c r="M278" s="80">
        <f t="shared" si="90"/>
        <v>265</v>
      </c>
      <c r="N278" s="80"/>
      <c r="O278" s="229" t="str">
        <f t="shared" si="91"/>
        <v/>
      </c>
      <c r="P278" s="229" t="str">
        <f t="shared" si="92"/>
        <v/>
      </c>
      <c r="Q278" s="229" t="str">
        <f t="shared" si="93"/>
        <v/>
      </c>
      <c r="R278" s="97" t="str">
        <f t="shared" si="94"/>
        <v/>
      </c>
      <c r="S278" s="80">
        <f t="shared" si="95"/>
        <v>265</v>
      </c>
      <c r="T278" s="80"/>
      <c r="U278" s="229" t="str">
        <f t="shared" si="96"/>
        <v/>
      </c>
      <c r="V278" s="229" t="str">
        <f t="shared" si="97"/>
        <v/>
      </c>
      <c r="W278" s="229" t="str">
        <f t="shared" si="98"/>
        <v/>
      </c>
      <c r="X278" s="97" t="str">
        <f t="shared" si="99"/>
        <v/>
      </c>
    </row>
    <row r="279" spans="1:24" x14ac:dyDescent="0.2">
      <c r="A279" s="80">
        <f t="shared" si="80"/>
        <v>266</v>
      </c>
      <c r="B279" s="80"/>
      <c r="C279" s="229" t="str">
        <f t="shared" si="81"/>
        <v/>
      </c>
      <c r="D279" s="229" t="str">
        <f t="shared" si="82"/>
        <v/>
      </c>
      <c r="E279" s="229" t="str">
        <f t="shared" si="83"/>
        <v/>
      </c>
      <c r="F279" s="97" t="str">
        <f t="shared" si="84"/>
        <v/>
      </c>
      <c r="G279" s="80">
        <f t="shared" si="85"/>
        <v>266</v>
      </c>
      <c r="H279" s="80"/>
      <c r="I279" s="229" t="str">
        <f t="shared" si="86"/>
        <v/>
      </c>
      <c r="J279" s="229" t="str">
        <f t="shared" si="87"/>
        <v/>
      </c>
      <c r="K279" s="229" t="str">
        <f t="shared" si="88"/>
        <v/>
      </c>
      <c r="L279" s="97" t="str">
        <f t="shared" si="89"/>
        <v/>
      </c>
      <c r="M279" s="80">
        <f t="shared" si="90"/>
        <v>266</v>
      </c>
      <c r="N279" s="80"/>
      <c r="O279" s="229" t="str">
        <f t="shared" si="91"/>
        <v/>
      </c>
      <c r="P279" s="229" t="str">
        <f t="shared" si="92"/>
        <v/>
      </c>
      <c r="Q279" s="229" t="str">
        <f t="shared" si="93"/>
        <v/>
      </c>
      <c r="R279" s="97" t="str">
        <f t="shared" si="94"/>
        <v/>
      </c>
      <c r="S279" s="80">
        <f t="shared" si="95"/>
        <v>266</v>
      </c>
      <c r="T279" s="80"/>
      <c r="U279" s="229" t="str">
        <f t="shared" si="96"/>
        <v/>
      </c>
      <c r="V279" s="229" t="str">
        <f t="shared" si="97"/>
        <v/>
      </c>
      <c r="W279" s="229" t="str">
        <f t="shared" si="98"/>
        <v/>
      </c>
      <c r="X279" s="97" t="str">
        <f t="shared" si="99"/>
        <v/>
      </c>
    </row>
    <row r="280" spans="1:24" x14ac:dyDescent="0.2">
      <c r="A280" s="80">
        <f t="shared" si="80"/>
        <v>267</v>
      </c>
      <c r="B280" s="80"/>
      <c r="C280" s="229" t="str">
        <f t="shared" si="81"/>
        <v/>
      </c>
      <c r="D280" s="229" t="str">
        <f t="shared" si="82"/>
        <v/>
      </c>
      <c r="E280" s="229" t="str">
        <f t="shared" si="83"/>
        <v/>
      </c>
      <c r="F280" s="97" t="str">
        <f t="shared" si="84"/>
        <v/>
      </c>
      <c r="G280" s="80">
        <f t="shared" si="85"/>
        <v>267</v>
      </c>
      <c r="H280" s="80"/>
      <c r="I280" s="229" t="str">
        <f t="shared" si="86"/>
        <v/>
      </c>
      <c r="J280" s="229" t="str">
        <f t="shared" si="87"/>
        <v/>
      </c>
      <c r="K280" s="229" t="str">
        <f t="shared" si="88"/>
        <v/>
      </c>
      <c r="L280" s="97" t="str">
        <f t="shared" si="89"/>
        <v/>
      </c>
      <c r="M280" s="80">
        <f t="shared" si="90"/>
        <v>267</v>
      </c>
      <c r="N280" s="80"/>
      <c r="O280" s="229" t="str">
        <f t="shared" si="91"/>
        <v/>
      </c>
      <c r="P280" s="229" t="str">
        <f t="shared" si="92"/>
        <v/>
      </c>
      <c r="Q280" s="229" t="str">
        <f t="shared" si="93"/>
        <v/>
      </c>
      <c r="R280" s="97" t="str">
        <f t="shared" si="94"/>
        <v/>
      </c>
      <c r="S280" s="80">
        <f t="shared" si="95"/>
        <v>267</v>
      </c>
      <c r="T280" s="80"/>
      <c r="U280" s="229" t="str">
        <f t="shared" si="96"/>
        <v/>
      </c>
      <c r="V280" s="229" t="str">
        <f t="shared" si="97"/>
        <v/>
      </c>
      <c r="W280" s="229" t="str">
        <f t="shared" si="98"/>
        <v/>
      </c>
      <c r="X280" s="97" t="str">
        <f t="shared" si="99"/>
        <v/>
      </c>
    </row>
    <row r="281" spans="1:24" x14ac:dyDescent="0.2">
      <c r="A281" s="80">
        <f t="shared" si="80"/>
        <v>268</v>
      </c>
      <c r="B281" s="80"/>
      <c r="C281" s="229" t="str">
        <f t="shared" si="81"/>
        <v/>
      </c>
      <c r="D281" s="229" t="str">
        <f t="shared" si="82"/>
        <v/>
      </c>
      <c r="E281" s="229" t="str">
        <f t="shared" si="83"/>
        <v/>
      </c>
      <c r="F281" s="97" t="str">
        <f t="shared" si="84"/>
        <v/>
      </c>
      <c r="G281" s="80">
        <f t="shared" si="85"/>
        <v>268</v>
      </c>
      <c r="H281" s="80"/>
      <c r="I281" s="229" t="str">
        <f t="shared" si="86"/>
        <v/>
      </c>
      <c r="J281" s="229" t="str">
        <f t="shared" si="87"/>
        <v/>
      </c>
      <c r="K281" s="229" t="str">
        <f t="shared" si="88"/>
        <v/>
      </c>
      <c r="L281" s="97" t="str">
        <f t="shared" si="89"/>
        <v/>
      </c>
      <c r="M281" s="80">
        <f t="shared" si="90"/>
        <v>268</v>
      </c>
      <c r="N281" s="80"/>
      <c r="O281" s="229" t="str">
        <f t="shared" si="91"/>
        <v/>
      </c>
      <c r="P281" s="229" t="str">
        <f t="shared" si="92"/>
        <v/>
      </c>
      <c r="Q281" s="229" t="str">
        <f t="shared" si="93"/>
        <v/>
      </c>
      <c r="R281" s="97" t="str">
        <f t="shared" si="94"/>
        <v/>
      </c>
      <c r="S281" s="80">
        <f t="shared" si="95"/>
        <v>268</v>
      </c>
      <c r="T281" s="80"/>
      <c r="U281" s="229" t="str">
        <f t="shared" si="96"/>
        <v/>
      </c>
      <c r="V281" s="229" t="str">
        <f t="shared" si="97"/>
        <v/>
      </c>
      <c r="W281" s="229" t="str">
        <f t="shared" si="98"/>
        <v/>
      </c>
      <c r="X281" s="97" t="str">
        <f t="shared" si="99"/>
        <v/>
      </c>
    </row>
    <row r="282" spans="1:24" x14ac:dyDescent="0.2">
      <c r="A282" s="80">
        <f t="shared" si="80"/>
        <v>269</v>
      </c>
      <c r="B282" s="80"/>
      <c r="C282" s="229" t="str">
        <f t="shared" si="81"/>
        <v/>
      </c>
      <c r="D282" s="229" t="str">
        <f t="shared" si="82"/>
        <v/>
      </c>
      <c r="E282" s="229" t="str">
        <f t="shared" si="83"/>
        <v/>
      </c>
      <c r="F282" s="97" t="str">
        <f t="shared" si="84"/>
        <v/>
      </c>
      <c r="G282" s="80">
        <f t="shared" si="85"/>
        <v>269</v>
      </c>
      <c r="H282" s="80"/>
      <c r="I282" s="229" t="str">
        <f t="shared" si="86"/>
        <v/>
      </c>
      <c r="J282" s="229" t="str">
        <f t="shared" si="87"/>
        <v/>
      </c>
      <c r="K282" s="229" t="str">
        <f t="shared" si="88"/>
        <v/>
      </c>
      <c r="L282" s="97" t="str">
        <f t="shared" si="89"/>
        <v/>
      </c>
      <c r="M282" s="80">
        <f t="shared" si="90"/>
        <v>269</v>
      </c>
      <c r="N282" s="80"/>
      <c r="O282" s="229" t="str">
        <f t="shared" si="91"/>
        <v/>
      </c>
      <c r="P282" s="229" t="str">
        <f t="shared" si="92"/>
        <v/>
      </c>
      <c r="Q282" s="229" t="str">
        <f t="shared" si="93"/>
        <v/>
      </c>
      <c r="R282" s="97" t="str">
        <f t="shared" si="94"/>
        <v/>
      </c>
      <c r="S282" s="80">
        <f t="shared" si="95"/>
        <v>269</v>
      </c>
      <c r="T282" s="80"/>
      <c r="U282" s="229" t="str">
        <f t="shared" si="96"/>
        <v/>
      </c>
      <c r="V282" s="229" t="str">
        <f t="shared" si="97"/>
        <v/>
      </c>
      <c r="W282" s="229" t="str">
        <f t="shared" si="98"/>
        <v/>
      </c>
      <c r="X282" s="97" t="str">
        <f t="shared" si="99"/>
        <v/>
      </c>
    </row>
    <row r="283" spans="1:24" x14ac:dyDescent="0.2">
      <c r="A283" s="80">
        <f t="shared" si="80"/>
        <v>270</v>
      </c>
      <c r="B283" s="80"/>
      <c r="C283" s="229" t="str">
        <f t="shared" si="81"/>
        <v/>
      </c>
      <c r="D283" s="229" t="str">
        <f t="shared" si="82"/>
        <v/>
      </c>
      <c r="E283" s="229" t="str">
        <f t="shared" si="83"/>
        <v/>
      </c>
      <c r="F283" s="97" t="str">
        <f t="shared" si="84"/>
        <v/>
      </c>
      <c r="G283" s="80">
        <f t="shared" si="85"/>
        <v>270</v>
      </c>
      <c r="H283" s="80"/>
      <c r="I283" s="229" t="str">
        <f t="shared" si="86"/>
        <v/>
      </c>
      <c r="J283" s="229" t="str">
        <f t="shared" si="87"/>
        <v/>
      </c>
      <c r="K283" s="229" t="str">
        <f t="shared" si="88"/>
        <v/>
      </c>
      <c r="L283" s="97" t="str">
        <f t="shared" si="89"/>
        <v/>
      </c>
      <c r="M283" s="80">
        <f t="shared" si="90"/>
        <v>270</v>
      </c>
      <c r="N283" s="80"/>
      <c r="O283" s="229" t="str">
        <f t="shared" si="91"/>
        <v/>
      </c>
      <c r="P283" s="229" t="str">
        <f t="shared" si="92"/>
        <v/>
      </c>
      <c r="Q283" s="229" t="str">
        <f t="shared" si="93"/>
        <v/>
      </c>
      <c r="R283" s="97" t="str">
        <f t="shared" si="94"/>
        <v/>
      </c>
      <c r="S283" s="80">
        <f t="shared" si="95"/>
        <v>270</v>
      </c>
      <c r="T283" s="80"/>
      <c r="U283" s="229" t="str">
        <f t="shared" si="96"/>
        <v/>
      </c>
      <c r="V283" s="229" t="str">
        <f t="shared" si="97"/>
        <v/>
      </c>
      <c r="W283" s="229" t="str">
        <f t="shared" si="98"/>
        <v/>
      </c>
      <c r="X283" s="97" t="str">
        <f t="shared" si="99"/>
        <v/>
      </c>
    </row>
    <row r="284" spans="1:24" x14ac:dyDescent="0.2">
      <c r="A284" s="80">
        <f t="shared" si="80"/>
        <v>271</v>
      </c>
      <c r="B284" s="80"/>
      <c r="C284" s="229" t="str">
        <f t="shared" si="81"/>
        <v/>
      </c>
      <c r="D284" s="229" t="str">
        <f t="shared" si="82"/>
        <v/>
      </c>
      <c r="E284" s="229" t="str">
        <f t="shared" si="83"/>
        <v/>
      </c>
      <c r="F284" s="97" t="str">
        <f t="shared" si="84"/>
        <v/>
      </c>
      <c r="G284" s="80">
        <f t="shared" si="85"/>
        <v>271</v>
      </c>
      <c r="H284" s="80"/>
      <c r="I284" s="229" t="str">
        <f t="shared" si="86"/>
        <v/>
      </c>
      <c r="J284" s="229" t="str">
        <f t="shared" si="87"/>
        <v/>
      </c>
      <c r="K284" s="229" t="str">
        <f t="shared" si="88"/>
        <v/>
      </c>
      <c r="L284" s="97" t="str">
        <f t="shared" si="89"/>
        <v/>
      </c>
      <c r="M284" s="80">
        <f t="shared" si="90"/>
        <v>271</v>
      </c>
      <c r="N284" s="80"/>
      <c r="O284" s="229" t="str">
        <f t="shared" si="91"/>
        <v/>
      </c>
      <c r="P284" s="229" t="str">
        <f t="shared" si="92"/>
        <v/>
      </c>
      <c r="Q284" s="229" t="str">
        <f t="shared" si="93"/>
        <v/>
      </c>
      <c r="R284" s="97" t="str">
        <f t="shared" si="94"/>
        <v/>
      </c>
      <c r="S284" s="80">
        <f t="shared" si="95"/>
        <v>271</v>
      </c>
      <c r="T284" s="80"/>
      <c r="U284" s="229" t="str">
        <f t="shared" si="96"/>
        <v/>
      </c>
      <c r="V284" s="229" t="str">
        <f t="shared" si="97"/>
        <v/>
      </c>
      <c r="W284" s="229" t="str">
        <f t="shared" si="98"/>
        <v/>
      </c>
      <c r="X284" s="97" t="str">
        <f t="shared" si="99"/>
        <v/>
      </c>
    </row>
    <row r="285" spans="1:24" x14ac:dyDescent="0.2">
      <c r="A285" s="80">
        <f t="shared" si="80"/>
        <v>272</v>
      </c>
      <c r="B285" s="80"/>
      <c r="C285" s="229" t="str">
        <f t="shared" si="81"/>
        <v/>
      </c>
      <c r="D285" s="229" t="str">
        <f t="shared" si="82"/>
        <v/>
      </c>
      <c r="E285" s="229" t="str">
        <f t="shared" si="83"/>
        <v/>
      </c>
      <c r="F285" s="97" t="str">
        <f t="shared" si="84"/>
        <v/>
      </c>
      <c r="G285" s="80">
        <f t="shared" si="85"/>
        <v>272</v>
      </c>
      <c r="H285" s="80"/>
      <c r="I285" s="229" t="str">
        <f t="shared" si="86"/>
        <v/>
      </c>
      <c r="J285" s="229" t="str">
        <f t="shared" si="87"/>
        <v/>
      </c>
      <c r="K285" s="229" t="str">
        <f t="shared" si="88"/>
        <v/>
      </c>
      <c r="L285" s="97" t="str">
        <f t="shared" si="89"/>
        <v/>
      </c>
      <c r="M285" s="80">
        <f t="shared" si="90"/>
        <v>272</v>
      </c>
      <c r="N285" s="80"/>
      <c r="O285" s="229" t="str">
        <f t="shared" si="91"/>
        <v/>
      </c>
      <c r="P285" s="229" t="str">
        <f t="shared" si="92"/>
        <v/>
      </c>
      <c r="Q285" s="229" t="str">
        <f t="shared" si="93"/>
        <v/>
      </c>
      <c r="R285" s="97" t="str">
        <f t="shared" si="94"/>
        <v/>
      </c>
      <c r="S285" s="80">
        <f t="shared" si="95"/>
        <v>272</v>
      </c>
      <c r="T285" s="80"/>
      <c r="U285" s="229" t="str">
        <f t="shared" si="96"/>
        <v/>
      </c>
      <c r="V285" s="229" t="str">
        <f t="shared" si="97"/>
        <v/>
      </c>
      <c r="W285" s="229" t="str">
        <f t="shared" si="98"/>
        <v/>
      </c>
      <c r="X285" s="97" t="str">
        <f t="shared" si="99"/>
        <v/>
      </c>
    </row>
    <row r="286" spans="1:24" x14ac:dyDescent="0.2">
      <c r="A286" s="80">
        <f t="shared" si="80"/>
        <v>273</v>
      </c>
      <c r="B286" s="80"/>
      <c r="C286" s="229" t="str">
        <f t="shared" si="81"/>
        <v/>
      </c>
      <c r="D286" s="229" t="str">
        <f t="shared" si="82"/>
        <v/>
      </c>
      <c r="E286" s="229" t="str">
        <f t="shared" si="83"/>
        <v/>
      </c>
      <c r="F286" s="97" t="str">
        <f t="shared" si="84"/>
        <v/>
      </c>
      <c r="G286" s="80">
        <f t="shared" si="85"/>
        <v>273</v>
      </c>
      <c r="H286" s="80"/>
      <c r="I286" s="229" t="str">
        <f t="shared" si="86"/>
        <v/>
      </c>
      <c r="J286" s="229" t="str">
        <f t="shared" si="87"/>
        <v/>
      </c>
      <c r="K286" s="229" t="str">
        <f t="shared" si="88"/>
        <v/>
      </c>
      <c r="L286" s="97" t="str">
        <f t="shared" si="89"/>
        <v/>
      </c>
      <c r="M286" s="80">
        <f t="shared" si="90"/>
        <v>273</v>
      </c>
      <c r="N286" s="80"/>
      <c r="O286" s="229" t="str">
        <f t="shared" si="91"/>
        <v/>
      </c>
      <c r="P286" s="229" t="str">
        <f t="shared" si="92"/>
        <v/>
      </c>
      <c r="Q286" s="229" t="str">
        <f t="shared" si="93"/>
        <v/>
      </c>
      <c r="R286" s="97" t="str">
        <f t="shared" si="94"/>
        <v/>
      </c>
      <c r="S286" s="80">
        <f t="shared" si="95"/>
        <v>273</v>
      </c>
      <c r="T286" s="80"/>
      <c r="U286" s="229" t="str">
        <f t="shared" si="96"/>
        <v/>
      </c>
      <c r="V286" s="229" t="str">
        <f t="shared" si="97"/>
        <v/>
      </c>
      <c r="W286" s="229" t="str">
        <f t="shared" si="98"/>
        <v/>
      </c>
      <c r="X286" s="97" t="str">
        <f t="shared" si="99"/>
        <v/>
      </c>
    </row>
    <row r="287" spans="1:24" x14ac:dyDescent="0.2">
      <c r="A287" s="80">
        <f t="shared" si="80"/>
        <v>274</v>
      </c>
      <c r="B287" s="80"/>
      <c r="C287" s="229" t="str">
        <f t="shared" si="81"/>
        <v/>
      </c>
      <c r="D287" s="229" t="str">
        <f t="shared" si="82"/>
        <v/>
      </c>
      <c r="E287" s="229" t="str">
        <f t="shared" si="83"/>
        <v/>
      </c>
      <c r="F287" s="97" t="str">
        <f t="shared" si="84"/>
        <v/>
      </c>
      <c r="G287" s="80">
        <f t="shared" si="85"/>
        <v>274</v>
      </c>
      <c r="H287" s="80"/>
      <c r="I287" s="229" t="str">
        <f t="shared" si="86"/>
        <v/>
      </c>
      <c r="J287" s="229" t="str">
        <f t="shared" si="87"/>
        <v/>
      </c>
      <c r="K287" s="229" t="str">
        <f t="shared" si="88"/>
        <v/>
      </c>
      <c r="L287" s="97" t="str">
        <f t="shared" si="89"/>
        <v/>
      </c>
      <c r="M287" s="80">
        <f t="shared" si="90"/>
        <v>274</v>
      </c>
      <c r="N287" s="80"/>
      <c r="O287" s="229" t="str">
        <f t="shared" si="91"/>
        <v/>
      </c>
      <c r="P287" s="229" t="str">
        <f t="shared" si="92"/>
        <v/>
      </c>
      <c r="Q287" s="229" t="str">
        <f t="shared" si="93"/>
        <v/>
      </c>
      <c r="R287" s="97" t="str">
        <f t="shared" si="94"/>
        <v/>
      </c>
      <c r="S287" s="80">
        <f t="shared" si="95"/>
        <v>274</v>
      </c>
      <c r="T287" s="80"/>
      <c r="U287" s="229" t="str">
        <f t="shared" si="96"/>
        <v/>
      </c>
      <c r="V287" s="229" t="str">
        <f t="shared" si="97"/>
        <v/>
      </c>
      <c r="W287" s="229" t="str">
        <f t="shared" si="98"/>
        <v/>
      </c>
      <c r="X287" s="97" t="str">
        <f t="shared" si="99"/>
        <v/>
      </c>
    </row>
    <row r="288" spans="1:24" x14ac:dyDescent="0.2">
      <c r="A288" s="80">
        <f t="shared" si="80"/>
        <v>275</v>
      </c>
      <c r="B288" s="80"/>
      <c r="C288" s="229" t="str">
        <f t="shared" si="81"/>
        <v/>
      </c>
      <c r="D288" s="229" t="str">
        <f t="shared" si="82"/>
        <v/>
      </c>
      <c r="E288" s="229" t="str">
        <f t="shared" si="83"/>
        <v/>
      </c>
      <c r="F288" s="97" t="str">
        <f t="shared" si="84"/>
        <v/>
      </c>
      <c r="G288" s="80">
        <f t="shared" si="85"/>
        <v>275</v>
      </c>
      <c r="H288" s="80"/>
      <c r="I288" s="229" t="str">
        <f t="shared" si="86"/>
        <v/>
      </c>
      <c r="J288" s="229" t="str">
        <f t="shared" si="87"/>
        <v/>
      </c>
      <c r="K288" s="229" t="str">
        <f t="shared" si="88"/>
        <v/>
      </c>
      <c r="L288" s="97" t="str">
        <f t="shared" si="89"/>
        <v/>
      </c>
      <c r="M288" s="80">
        <f t="shared" si="90"/>
        <v>275</v>
      </c>
      <c r="N288" s="80"/>
      <c r="O288" s="229" t="str">
        <f t="shared" si="91"/>
        <v/>
      </c>
      <c r="P288" s="229" t="str">
        <f t="shared" si="92"/>
        <v/>
      </c>
      <c r="Q288" s="229" t="str">
        <f t="shared" si="93"/>
        <v/>
      </c>
      <c r="R288" s="97" t="str">
        <f t="shared" si="94"/>
        <v/>
      </c>
      <c r="S288" s="80">
        <f t="shared" si="95"/>
        <v>275</v>
      </c>
      <c r="T288" s="80"/>
      <c r="U288" s="229" t="str">
        <f t="shared" si="96"/>
        <v/>
      </c>
      <c r="V288" s="229" t="str">
        <f t="shared" si="97"/>
        <v/>
      </c>
      <c r="W288" s="229" t="str">
        <f t="shared" si="98"/>
        <v/>
      </c>
      <c r="X288" s="97" t="str">
        <f t="shared" si="99"/>
        <v/>
      </c>
    </row>
    <row r="289" spans="1:24" x14ac:dyDescent="0.2">
      <c r="A289" s="80">
        <f t="shared" si="80"/>
        <v>276</v>
      </c>
      <c r="B289" s="80"/>
      <c r="C289" s="229" t="str">
        <f t="shared" si="81"/>
        <v/>
      </c>
      <c r="D289" s="229" t="str">
        <f t="shared" si="82"/>
        <v/>
      </c>
      <c r="E289" s="229" t="str">
        <f t="shared" si="83"/>
        <v/>
      </c>
      <c r="F289" s="97" t="str">
        <f t="shared" si="84"/>
        <v/>
      </c>
      <c r="G289" s="80">
        <f t="shared" si="85"/>
        <v>276</v>
      </c>
      <c r="H289" s="80"/>
      <c r="I289" s="229" t="str">
        <f t="shared" si="86"/>
        <v/>
      </c>
      <c r="J289" s="229" t="str">
        <f t="shared" si="87"/>
        <v/>
      </c>
      <c r="K289" s="229" t="str">
        <f t="shared" si="88"/>
        <v/>
      </c>
      <c r="L289" s="97" t="str">
        <f t="shared" si="89"/>
        <v/>
      </c>
      <c r="M289" s="80">
        <f t="shared" si="90"/>
        <v>276</v>
      </c>
      <c r="N289" s="80"/>
      <c r="O289" s="229" t="str">
        <f t="shared" si="91"/>
        <v/>
      </c>
      <c r="P289" s="229" t="str">
        <f t="shared" si="92"/>
        <v/>
      </c>
      <c r="Q289" s="229" t="str">
        <f t="shared" si="93"/>
        <v/>
      </c>
      <c r="R289" s="97" t="str">
        <f t="shared" si="94"/>
        <v/>
      </c>
      <c r="S289" s="80">
        <f t="shared" si="95"/>
        <v>276</v>
      </c>
      <c r="T289" s="80"/>
      <c r="U289" s="229" t="str">
        <f t="shared" si="96"/>
        <v/>
      </c>
      <c r="V289" s="229" t="str">
        <f t="shared" si="97"/>
        <v/>
      </c>
      <c r="W289" s="229" t="str">
        <f t="shared" si="98"/>
        <v/>
      </c>
      <c r="X289" s="97" t="str">
        <f t="shared" si="99"/>
        <v/>
      </c>
    </row>
    <row r="290" spans="1:24" x14ac:dyDescent="0.2">
      <c r="A290" s="80">
        <f t="shared" si="80"/>
        <v>277</v>
      </c>
      <c r="B290" s="80"/>
      <c r="C290" s="229" t="str">
        <f t="shared" si="81"/>
        <v/>
      </c>
      <c r="D290" s="229" t="str">
        <f t="shared" si="82"/>
        <v/>
      </c>
      <c r="E290" s="229" t="str">
        <f t="shared" si="83"/>
        <v/>
      </c>
      <c r="F290" s="97" t="str">
        <f t="shared" si="84"/>
        <v/>
      </c>
      <c r="G290" s="80">
        <f t="shared" si="85"/>
        <v>277</v>
      </c>
      <c r="H290" s="80"/>
      <c r="I290" s="229" t="str">
        <f t="shared" si="86"/>
        <v/>
      </c>
      <c r="J290" s="229" t="str">
        <f t="shared" si="87"/>
        <v/>
      </c>
      <c r="K290" s="229" t="str">
        <f t="shared" si="88"/>
        <v/>
      </c>
      <c r="L290" s="97" t="str">
        <f t="shared" si="89"/>
        <v/>
      </c>
      <c r="M290" s="80">
        <f t="shared" si="90"/>
        <v>277</v>
      </c>
      <c r="N290" s="80"/>
      <c r="O290" s="229" t="str">
        <f t="shared" si="91"/>
        <v/>
      </c>
      <c r="P290" s="229" t="str">
        <f t="shared" si="92"/>
        <v/>
      </c>
      <c r="Q290" s="229" t="str">
        <f t="shared" si="93"/>
        <v/>
      </c>
      <c r="R290" s="97" t="str">
        <f t="shared" si="94"/>
        <v/>
      </c>
      <c r="S290" s="80">
        <f t="shared" si="95"/>
        <v>277</v>
      </c>
      <c r="T290" s="80"/>
      <c r="U290" s="229" t="str">
        <f t="shared" si="96"/>
        <v/>
      </c>
      <c r="V290" s="229" t="str">
        <f t="shared" si="97"/>
        <v/>
      </c>
      <c r="W290" s="229" t="str">
        <f t="shared" si="98"/>
        <v/>
      </c>
      <c r="X290" s="97" t="str">
        <f t="shared" si="99"/>
        <v/>
      </c>
    </row>
    <row r="291" spans="1:24" x14ac:dyDescent="0.2">
      <c r="A291" s="80">
        <f t="shared" si="80"/>
        <v>278</v>
      </c>
      <c r="B291" s="80"/>
      <c r="C291" s="229" t="str">
        <f t="shared" si="81"/>
        <v/>
      </c>
      <c r="D291" s="229" t="str">
        <f t="shared" si="82"/>
        <v/>
      </c>
      <c r="E291" s="229" t="str">
        <f t="shared" si="83"/>
        <v/>
      </c>
      <c r="F291" s="97" t="str">
        <f t="shared" si="84"/>
        <v/>
      </c>
      <c r="G291" s="80">
        <f t="shared" si="85"/>
        <v>278</v>
      </c>
      <c r="H291" s="80"/>
      <c r="I291" s="229" t="str">
        <f t="shared" si="86"/>
        <v/>
      </c>
      <c r="J291" s="229" t="str">
        <f t="shared" si="87"/>
        <v/>
      </c>
      <c r="K291" s="229" t="str">
        <f t="shared" si="88"/>
        <v/>
      </c>
      <c r="L291" s="97" t="str">
        <f t="shared" si="89"/>
        <v/>
      </c>
      <c r="M291" s="80">
        <f t="shared" si="90"/>
        <v>278</v>
      </c>
      <c r="N291" s="80"/>
      <c r="O291" s="229" t="str">
        <f t="shared" si="91"/>
        <v/>
      </c>
      <c r="P291" s="229" t="str">
        <f t="shared" si="92"/>
        <v/>
      </c>
      <c r="Q291" s="229" t="str">
        <f t="shared" si="93"/>
        <v/>
      </c>
      <c r="R291" s="97" t="str">
        <f t="shared" si="94"/>
        <v/>
      </c>
      <c r="S291" s="80">
        <f t="shared" si="95"/>
        <v>278</v>
      </c>
      <c r="T291" s="80"/>
      <c r="U291" s="229" t="str">
        <f t="shared" si="96"/>
        <v/>
      </c>
      <c r="V291" s="229" t="str">
        <f t="shared" si="97"/>
        <v/>
      </c>
      <c r="W291" s="229" t="str">
        <f t="shared" si="98"/>
        <v/>
      </c>
      <c r="X291" s="97" t="str">
        <f t="shared" si="99"/>
        <v/>
      </c>
    </row>
    <row r="292" spans="1:24" x14ac:dyDescent="0.2">
      <c r="A292" s="80">
        <f t="shared" si="80"/>
        <v>279</v>
      </c>
      <c r="B292" s="80"/>
      <c r="C292" s="229" t="str">
        <f t="shared" si="81"/>
        <v/>
      </c>
      <c r="D292" s="229" t="str">
        <f t="shared" si="82"/>
        <v/>
      </c>
      <c r="E292" s="229" t="str">
        <f t="shared" si="83"/>
        <v/>
      </c>
      <c r="F292" s="97" t="str">
        <f t="shared" si="84"/>
        <v/>
      </c>
      <c r="G292" s="80">
        <f t="shared" si="85"/>
        <v>279</v>
      </c>
      <c r="H292" s="80"/>
      <c r="I292" s="229" t="str">
        <f t="shared" si="86"/>
        <v/>
      </c>
      <c r="J292" s="229" t="str">
        <f t="shared" si="87"/>
        <v/>
      </c>
      <c r="K292" s="229" t="str">
        <f t="shared" si="88"/>
        <v/>
      </c>
      <c r="L292" s="97" t="str">
        <f t="shared" si="89"/>
        <v/>
      </c>
      <c r="M292" s="80">
        <f t="shared" si="90"/>
        <v>279</v>
      </c>
      <c r="N292" s="80"/>
      <c r="O292" s="229" t="str">
        <f t="shared" si="91"/>
        <v/>
      </c>
      <c r="P292" s="229" t="str">
        <f t="shared" si="92"/>
        <v/>
      </c>
      <c r="Q292" s="229" t="str">
        <f t="shared" si="93"/>
        <v/>
      </c>
      <c r="R292" s="97" t="str">
        <f t="shared" si="94"/>
        <v/>
      </c>
      <c r="S292" s="80">
        <f t="shared" si="95"/>
        <v>279</v>
      </c>
      <c r="T292" s="80"/>
      <c r="U292" s="229" t="str">
        <f t="shared" si="96"/>
        <v/>
      </c>
      <c r="V292" s="229" t="str">
        <f t="shared" si="97"/>
        <v/>
      </c>
      <c r="W292" s="229" t="str">
        <f t="shared" si="98"/>
        <v/>
      </c>
      <c r="X292" s="97" t="str">
        <f t="shared" si="99"/>
        <v/>
      </c>
    </row>
    <row r="293" spans="1:24" x14ac:dyDescent="0.2">
      <c r="A293" s="80">
        <f t="shared" si="80"/>
        <v>280</v>
      </c>
      <c r="B293" s="80"/>
      <c r="C293" s="229" t="str">
        <f t="shared" si="81"/>
        <v/>
      </c>
      <c r="D293" s="229" t="str">
        <f t="shared" si="82"/>
        <v/>
      </c>
      <c r="E293" s="229" t="str">
        <f t="shared" si="83"/>
        <v/>
      </c>
      <c r="F293" s="97" t="str">
        <f t="shared" si="84"/>
        <v/>
      </c>
      <c r="G293" s="80">
        <f t="shared" si="85"/>
        <v>280</v>
      </c>
      <c r="H293" s="80"/>
      <c r="I293" s="229" t="str">
        <f t="shared" si="86"/>
        <v/>
      </c>
      <c r="J293" s="229" t="str">
        <f t="shared" si="87"/>
        <v/>
      </c>
      <c r="K293" s="229" t="str">
        <f t="shared" si="88"/>
        <v/>
      </c>
      <c r="L293" s="97" t="str">
        <f t="shared" si="89"/>
        <v/>
      </c>
      <c r="M293" s="80">
        <f t="shared" si="90"/>
        <v>280</v>
      </c>
      <c r="N293" s="80"/>
      <c r="O293" s="229" t="str">
        <f t="shared" si="91"/>
        <v/>
      </c>
      <c r="P293" s="229" t="str">
        <f t="shared" si="92"/>
        <v/>
      </c>
      <c r="Q293" s="229" t="str">
        <f t="shared" si="93"/>
        <v/>
      </c>
      <c r="R293" s="97" t="str">
        <f t="shared" si="94"/>
        <v/>
      </c>
      <c r="S293" s="80">
        <f t="shared" si="95"/>
        <v>280</v>
      </c>
      <c r="T293" s="80"/>
      <c r="U293" s="229" t="str">
        <f t="shared" si="96"/>
        <v/>
      </c>
      <c r="V293" s="229" t="str">
        <f t="shared" si="97"/>
        <v/>
      </c>
      <c r="W293" s="229" t="str">
        <f t="shared" si="98"/>
        <v/>
      </c>
      <c r="X293" s="97" t="str">
        <f t="shared" si="99"/>
        <v/>
      </c>
    </row>
    <row r="294" spans="1:24" x14ac:dyDescent="0.2">
      <c r="A294" s="80">
        <f t="shared" si="80"/>
        <v>281</v>
      </c>
      <c r="B294" s="80"/>
      <c r="C294" s="229" t="str">
        <f t="shared" si="81"/>
        <v/>
      </c>
      <c r="D294" s="229" t="str">
        <f t="shared" si="82"/>
        <v/>
      </c>
      <c r="E294" s="229" t="str">
        <f t="shared" si="83"/>
        <v/>
      </c>
      <c r="F294" s="97" t="str">
        <f t="shared" si="84"/>
        <v/>
      </c>
      <c r="G294" s="80">
        <f t="shared" si="85"/>
        <v>281</v>
      </c>
      <c r="H294" s="80"/>
      <c r="I294" s="229" t="str">
        <f t="shared" si="86"/>
        <v/>
      </c>
      <c r="J294" s="229" t="str">
        <f t="shared" si="87"/>
        <v/>
      </c>
      <c r="K294" s="229" t="str">
        <f t="shared" si="88"/>
        <v/>
      </c>
      <c r="L294" s="97" t="str">
        <f t="shared" si="89"/>
        <v/>
      </c>
      <c r="M294" s="80">
        <f t="shared" si="90"/>
        <v>281</v>
      </c>
      <c r="N294" s="80"/>
      <c r="O294" s="229" t="str">
        <f t="shared" si="91"/>
        <v/>
      </c>
      <c r="P294" s="229" t="str">
        <f t="shared" si="92"/>
        <v/>
      </c>
      <c r="Q294" s="229" t="str">
        <f t="shared" si="93"/>
        <v/>
      </c>
      <c r="R294" s="97" t="str">
        <f t="shared" si="94"/>
        <v/>
      </c>
      <c r="S294" s="80">
        <f t="shared" si="95"/>
        <v>281</v>
      </c>
      <c r="T294" s="80"/>
      <c r="U294" s="229" t="str">
        <f t="shared" si="96"/>
        <v/>
      </c>
      <c r="V294" s="229" t="str">
        <f t="shared" si="97"/>
        <v/>
      </c>
      <c r="W294" s="229" t="str">
        <f t="shared" si="98"/>
        <v/>
      </c>
      <c r="X294" s="97" t="str">
        <f t="shared" si="99"/>
        <v/>
      </c>
    </row>
    <row r="295" spans="1:24" x14ac:dyDescent="0.2">
      <c r="A295" s="80">
        <f t="shared" si="80"/>
        <v>282</v>
      </c>
      <c r="B295" s="80"/>
      <c r="C295" s="229" t="str">
        <f t="shared" si="81"/>
        <v/>
      </c>
      <c r="D295" s="229" t="str">
        <f t="shared" si="82"/>
        <v/>
      </c>
      <c r="E295" s="229" t="str">
        <f t="shared" si="83"/>
        <v/>
      </c>
      <c r="F295" s="97" t="str">
        <f t="shared" si="84"/>
        <v/>
      </c>
      <c r="G295" s="80">
        <f t="shared" si="85"/>
        <v>282</v>
      </c>
      <c r="H295" s="80"/>
      <c r="I295" s="229" t="str">
        <f t="shared" si="86"/>
        <v/>
      </c>
      <c r="J295" s="229" t="str">
        <f t="shared" si="87"/>
        <v/>
      </c>
      <c r="K295" s="229" t="str">
        <f t="shared" si="88"/>
        <v/>
      </c>
      <c r="L295" s="97" t="str">
        <f t="shared" si="89"/>
        <v/>
      </c>
      <c r="M295" s="80">
        <f t="shared" si="90"/>
        <v>282</v>
      </c>
      <c r="N295" s="80"/>
      <c r="O295" s="229" t="str">
        <f t="shared" si="91"/>
        <v/>
      </c>
      <c r="P295" s="229" t="str">
        <f t="shared" si="92"/>
        <v/>
      </c>
      <c r="Q295" s="229" t="str">
        <f t="shared" si="93"/>
        <v/>
      </c>
      <c r="R295" s="97" t="str">
        <f t="shared" si="94"/>
        <v/>
      </c>
      <c r="S295" s="80">
        <f t="shared" si="95"/>
        <v>282</v>
      </c>
      <c r="T295" s="80"/>
      <c r="U295" s="229" t="str">
        <f t="shared" si="96"/>
        <v/>
      </c>
      <c r="V295" s="229" t="str">
        <f t="shared" si="97"/>
        <v/>
      </c>
      <c r="W295" s="229" t="str">
        <f t="shared" si="98"/>
        <v/>
      </c>
      <c r="X295" s="97" t="str">
        <f t="shared" si="99"/>
        <v/>
      </c>
    </row>
    <row r="296" spans="1:24" x14ac:dyDescent="0.2">
      <c r="A296" s="80">
        <f t="shared" si="80"/>
        <v>283</v>
      </c>
      <c r="B296" s="80"/>
      <c r="C296" s="229" t="str">
        <f t="shared" si="81"/>
        <v/>
      </c>
      <c r="D296" s="229" t="str">
        <f t="shared" si="82"/>
        <v/>
      </c>
      <c r="E296" s="229" t="str">
        <f t="shared" si="83"/>
        <v/>
      </c>
      <c r="F296" s="97" t="str">
        <f t="shared" si="84"/>
        <v/>
      </c>
      <c r="G296" s="80">
        <f t="shared" si="85"/>
        <v>283</v>
      </c>
      <c r="H296" s="80"/>
      <c r="I296" s="229" t="str">
        <f t="shared" si="86"/>
        <v/>
      </c>
      <c r="J296" s="229" t="str">
        <f t="shared" si="87"/>
        <v/>
      </c>
      <c r="K296" s="229" t="str">
        <f t="shared" si="88"/>
        <v/>
      </c>
      <c r="L296" s="97" t="str">
        <f t="shared" si="89"/>
        <v/>
      </c>
      <c r="M296" s="80">
        <f t="shared" si="90"/>
        <v>283</v>
      </c>
      <c r="N296" s="80"/>
      <c r="O296" s="229" t="str">
        <f t="shared" si="91"/>
        <v/>
      </c>
      <c r="P296" s="229" t="str">
        <f t="shared" si="92"/>
        <v/>
      </c>
      <c r="Q296" s="229" t="str">
        <f t="shared" si="93"/>
        <v/>
      </c>
      <c r="R296" s="97" t="str">
        <f t="shared" si="94"/>
        <v/>
      </c>
      <c r="S296" s="80">
        <f t="shared" si="95"/>
        <v>283</v>
      </c>
      <c r="T296" s="80"/>
      <c r="U296" s="229" t="str">
        <f t="shared" si="96"/>
        <v/>
      </c>
      <c r="V296" s="229" t="str">
        <f t="shared" si="97"/>
        <v/>
      </c>
      <c r="W296" s="229" t="str">
        <f t="shared" si="98"/>
        <v/>
      </c>
      <c r="X296" s="97" t="str">
        <f t="shared" si="99"/>
        <v/>
      </c>
    </row>
    <row r="297" spans="1:24" x14ac:dyDescent="0.2">
      <c r="A297" s="80">
        <f t="shared" si="80"/>
        <v>284</v>
      </c>
      <c r="B297" s="80"/>
      <c r="C297" s="229" t="str">
        <f t="shared" si="81"/>
        <v/>
      </c>
      <c r="D297" s="229" t="str">
        <f t="shared" si="82"/>
        <v/>
      </c>
      <c r="E297" s="229" t="str">
        <f t="shared" si="83"/>
        <v/>
      </c>
      <c r="F297" s="97" t="str">
        <f t="shared" si="84"/>
        <v/>
      </c>
      <c r="G297" s="80">
        <f t="shared" si="85"/>
        <v>284</v>
      </c>
      <c r="H297" s="80"/>
      <c r="I297" s="229" t="str">
        <f t="shared" si="86"/>
        <v/>
      </c>
      <c r="J297" s="229" t="str">
        <f t="shared" si="87"/>
        <v/>
      </c>
      <c r="K297" s="229" t="str">
        <f t="shared" si="88"/>
        <v/>
      </c>
      <c r="L297" s="97" t="str">
        <f t="shared" si="89"/>
        <v/>
      </c>
      <c r="M297" s="80">
        <f t="shared" si="90"/>
        <v>284</v>
      </c>
      <c r="N297" s="80"/>
      <c r="O297" s="229" t="str">
        <f t="shared" si="91"/>
        <v/>
      </c>
      <c r="P297" s="229" t="str">
        <f t="shared" si="92"/>
        <v/>
      </c>
      <c r="Q297" s="229" t="str">
        <f t="shared" si="93"/>
        <v/>
      </c>
      <c r="R297" s="97" t="str">
        <f t="shared" si="94"/>
        <v/>
      </c>
      <c r="S297" s="80">
        <f t="shared" si="95"/>
        <v>284</v>
      </c>
      <c r="T297" s="80"/>
      <c r="U297" s="229" t="str">
        <f t="shared" si="96"/>
        <v/>
      </c>
      <c r="V297" s="229" t="str">
        <f t="shared" si="97"/>
        <v/>
      </c>
      <c r="W297" s="229" t="str">
        <f t="shared" si="98"/>
        <v/>
      </c>
      <c r="X297" s="97" t="str">
        <f t="shared" si="99"/>
        <v/>
      </c>
    </row>
    <row r="298" spans="1:24" x14ac:dyDescent="0.2">
      <c r="A298" s="80">
        <f t="shared" si="80"/>
        <v>285</v>
      </c>
      <c r="B298" s="80"/>
      <c r="C298" s="229" t="str">
        <f t="shared" si="81"/>
        <v/>
      </c>
      <c r="D298" s="229" t="str">
        <f t="shared" si="82"/>
        <v/>
      </c>
      <c r="E298" s="229" t="str">
        <f t="shared" si="83"/>
        <v/>
      </c>
      <c r="F298" s="97" t="str">
        <f t="shared" si="84"/>
        <v/>
      </c>
      <c r="G298" s="80">
        <f t="shared" si="85"/>
        <v>285</v>
      </c>
      <c r="H298" s="80"/>
      <c r="I298" s="229" t="str">
        <f t="shared" si="86"/>
        <v/>
      </c>
      <c r="J298" s="229" t="str">
        <f t="shared" si="87"/>
        <v/>
      </c>
      <c r="K298" s="229" t="str">
        <f t="shared" si="88"/>
        <v/>
      </c>
      <c r="L298" s="97" t="str">
        <f t="shared" si="89"/>
        <v/>
      </c>
      <c r="M298" s="80">
        <f t="shared" si="90"/>
        <v>285</v>
      </c>
      <c r="N298" s="80"/>
      <c r="O298" s="229" t="str">
        <f t="shared" si="91"/>
        <v/>
      </c>
      <c r="P298" s="229" t="str">
        <f t="shared" si="92"/>
        <v/>
      </c>
      <c r="Q298" s="229" t="str">
        <f t="shared" si="93"/>
        <v/>
      </c>
      <c r="R298" s="97" t="str">
        <f t="shared" si="94"/>
        <v/>
      </c>
      <c r="S298" s="80">
        <f t="shared" si="95"/>
        <v>285</v>
      </c>
      <c r="T298" s="80"/>
      <c r="U298" s="229" t="str">
        <f t="shared" si="96"/>
        <v/>
      </c>
      <c r="V298" s="229" t="str">
        <f t="shared" si="97"/>
        <v/>
      </c>
      <c r="W298" s="229" t="str">
        <f t="shared" si="98"/>
        <v/>
      </c>
      <c r="X298" s="97" t="str">
        <f t="shared" si="99"/>
        <v/>
      </c>
    </row>
    <row r="299" spans="1:24" x14ac:dyDescent="0.2">
      <c r="A299" s="80">
        <f t="shared" si="80"/>
        <v>286</v>
      </c>
      <c r="B299" s="80"/>
      <c r="C299" s="229" t="str">
        <f t="shared" si="81"/>
        <v/>
      </c>
      <c r="D299" s="229" t="str">
        <f t="shared" si="82"/>
        <v/>
      </c>
      <c r="E299" s="229" t="str">
        <f t="shared" si="83"/>
        <v/>
      </c>
      <c r="F299" s="97" t="str">
        <f t="shared" si="84"/>
        <v/>
      </c>
      <c r="G299" s="80">
        <f t="shared" si="85"/>
        <v>286</v>
      </c>
      <c r="H299" s="80"/>
      <c r="I299" s="229" t="str">
        <f t="shared" si="86"/>
        <v/>
      </c>
      <c r="J299" s="229" t="str">
        <f t="shared" si="87"/>
        <v/>
      </c>
      <c r="K299" s="229" t="str">
        <f t="shared" si="88"/>
        <v/>
      </c>
      <c r="L299" s="97" t="str">
        <f t="shared" si="89"/>
        <v/>
      </c>
      <c r="M299" s="80">
        <f t="shared" si="90"/>
        <v>286</v>
      </c>
      <c r="N299" s="80"/>
      <c r="O299" s="229" t="str">
        <f t="shared" si="91"/>
        <v/>
      </c>
      <c r="P299" s="229" t="str">
        <f t="shared" si="92"/>
        <v/>
      </c>
      <c r="Q299" s="229" t="str">
        <f t="shared" si="93"/>
        <v/>
      </c>
      <c r="R299" s="97" t="str">
        <f t="shared" si="94"/>
        <v/>
      </c>
      <c r="S299" s="80">
        <f t="shared" si="95"/>
        <v>286</v>
      </c>
      <c r="T299" s="80"/>
      <c r="U299" s="229" t="str">
        <f t="shared" si="96"/>
        <v/>
      </c>
      <c r="V299" s="229" t="str">
        <f t="shared" si="97"/>
        <v/>
      </c>
      <c r="W299" s="229" t="str">
        <f t="shared" si="98"/>
        <v/>
      </c>
      <c r="X299" s="97" t="str">
        <f t="shared" si="99"/>
        <v/>
      </c>
    </row>
    <row r="300" spans="1:24" x14ac:dyDescent="0.2">
      <c r="A300" s="80">
        <f t="shared" si="80"/>
        <v>287</v>
      </c>
      <c r="B300" s="80"/>
      <c r="C300" s="229" t="str">
        <f t="shared" si="81"/>
        <v/>
      </c>
      <c r="D300" s="229" t="str">
        <f t="shared" si="82"/>
        <v/>
      </c>
      <c r="E300" s="229" t="str">
        <f t="shared" si="83"/>
        <v/>
      </c>
      <c r="F300" s="97" t="str">
        <f t="shared" si="84"/>
        <v/>
      </c>
      <c r="G300" s="80">
        <f t="shared" si="85"/>
        <v>287</v>
      </c>
      <c r="H300" s="80"/>
      <c r="I300" s="229" t="str">
        <f t="shared" si="86"/>
        <v/>
      </c>
      <c r="J300" s="229" t="str">
        <f t="shared" si="87"/>
        <v/>
      </c>
      <c r="K300" s="229" t="str">
        <f t="shared" si="88"/>
        <v/>
      </c>
      <c r="L300" s="97" t="str">
        <f t="shared" si="89"/>
        <v/>
      </c>
      <c r="M300" s="80">
        <f t="shared" si="90"/>
        <v>287</v>
      </c>
      <c r="N300" s="80"/>
      <c r="O300" s="229" t="str">
        <f t="shared" si="91"/>
        <v/>
      </c>
      <c r="P300" s="229" t="str">
        <f t="shared" si="92"/>
        <v/>
      </c>
      <c r="Q300" s="229" t="str">
        <f t="shared" si="93"/>
        <v/>
      </c>
      <c r="R300" s="97" t="str">
        <f t="shared" si="94"/>
        <v/>
      </c>
      <c r="S300" s="80">
        <f t="shared" si="95"/>
        <v>287</v>
      </c>
      <c r="T300" s="80"/>
      <c r="U300" s="229" t="str">
        <f t="shared" si="96"/>
        <v/>
      </c>
      <c r="V300" s="229" t="str">
        <f t="shared" si="97"/>
        <v/>
      </c>
      <c r="W300" s="229" t="str">
        <f t="shared" si="98"/>
        <v/>
      </c>
      <c r="X300" s="97" t="str">
        <f t="shared" si="99"/>
        <v/>
      </c>
    </row>
    <row r="301" spans="1:24" x14ac:dyDescent="0.2">
      <c r="A301" s="80">
        <f t="shared" si="80"/>
        <v>288</v>
      </c>
      <c r="B301" s="80"/>
      <c r="C301" s="229" t="str">
        <f t="shared" si="81"/>
        <v/>
      </c>
      <c r="D301" s="229" t="str">
        <f t="shared" si="82"/>
        <v/>
      </c>
      <c r="E301" s="229" t="str">
        <f t="shared" si="83"/>
        <v/>
      </c>
      <c r="F301" s="97" t="str">
        <f t="shared" si="84"/>
        <v/>
      </c>
      <c r="G301" s="80">
        <f t="shared" si="85"/>
        <v>288</v>
      </c>
      <c r="H301" s="80"/>
      <c r="I301" s="229" t="str">
        <f t="shared" si="86"/>
        <v/>
      </c>
      <c r="J301" s="229" t="str">
        <f t="shared" si="87"/>
        <v/>
      </c>
      <c r="K301" s="229" t="str">
        <f t="shared" si="88"/>
        <v/>
      </c>
      <c r="L301" s="97" t="str">
        <f t="shared" si="89"/>
        <v/>
      </c>
      <c r="M301" s="80">
        <f t="shared" si="90"/>
        <v>288</v>
      </c>
      <c r="N301" s="80"/>
      <c r="O301" s="229" t="str">
        <f t="shared" si="91"/>
        <v/>
      </c>
      <c r="P301" s="229" t="str">
        <f t="shared" si="92"/>
        <v/>
      </c>
      <c r="Q301" s="229" t="str">
        <f t="shared" si="93"/>
        <v/>
      </c>
      <c r="R301" s="97" t="str">
        <f t="shared" si="94"/>
        <v/>
      </c>
      <c r="S301" s="80">
        <f t="shared" si="95"/>
        <v>288</v>
      </c>
      <c r="T301" s="80"/>
      <c r="U301" s="229" t="str">
        <f t="shared" si="96"/>
        <v/>
      </c>
      <c r="V301" s="229" t="str">
        <f t="shared" si="97"/>
        <v/>
      </c>
      <c r="W301" s="229" t="str">
        <f t="shared" si="98"/>
        <v/>
      </c>
      <c r="X301" s="97" t="str">
        <f t="shared" si="99"/>
        <v/>
      </c>
    </row>
    <row r="302" spans="1:24" x14ac:dyDescent="0.2">
      <c r="A302" s="80">
        <f t="shared" si="80"/>
        <v>289</v>
      </c>
      <c r="B302" s="80"/>
      <c r="C302" s="229" t="str">
        <f t="shared" si="81"/>
        <v/>
      </c>
      <c r="D302" s="229" t="str">
        <f t="shared" si="82"/>
        <v/>
      </c>
      <c r="E302" s="229" t="str">
        <f t="shared" si="83"/>
        <v/>
      </c>
      <c r="F302" s="97" t="str">
        <f t="shared" si="84"/>
        <v/>
      </c>
      <c r="G302" s="80">
        <f t="shared" si="85"/>
        <v>289</v>
      </c>
      <c r="H302" s="80"/>
      <c r="I302" s="229" t="str">
        <f t="shared" si="86"/>
        <v/>
      </c>
      <c r="J302" s="229" t="str">
        <f t="shared" si="87"/>
        <v/>
      </c>
      <c r="K302" s="229" t="str">
        <f t="shared" si="88"/>
        <v/>
      </c>
      <c r="L302" s="97" t="str">
        <f t="shared" si="89"/>
        <v/>
      </c>
      <c r="M302" s="80">
        <f t="shared" si="90"/>
        <v>289</v>
      </c>
      <c r="N302" s="80"/>
      <c r="O302" s="229" t="str">
        <f t="shared" si="91"/>
        <v/>
      </c>
      <c r="P302" s="229" t="str">
        <f t="shared" si="92"/>
        <v/>
      </c>
      <c r="Q302" s="229" t="str">
        <f t="shared" si="93"/>
        <v/>
      </c>
      <c r="R302" s="97" t="str">
        <f t="shared" si="94"/>
        <v/>
      </c>
      <c r="S302" s="80">
        <f t="shared" si="95"/>
        <v>289</v>
      </c>
      <c r="T302" s="80"/>
      <c r="U302" s="229" t="str">
        <f t="shared" si="96"/>
        <v/>
      </c>
      <c r="V302" s="229" t="str">
        <f t="shared" si="97"/>
        <v/>
      </c>
      <c r="W302" s="229" t="str">
        <f t="shared" si="98"/>
        <v/>
      </c>
      <c r="X302" s="97" t="str">
        <f t="shared" si="99"/>
        <v/>
      </c>
    </row>
    <row r="303" spans="1:24" x14ac:dyDescent="0.2">
      <c r="A303" s="80">
        <f t="shared" si="80"/>
        <v>290</v>
      </c>
      <c r="B303" s="80"/>
      <c r="C303" s="229" t="str">
        <f t="shared" si="81"/>
        <v/>
      </c>
      <c r="D303" s="229" t="str">
        <f t="shared" si="82"/>
        <v/>
      </c>
      <c r="E303" s="229" t="str">
        <f t="shared" si="83"/>
        <v/>
      </c>
      <c r="F303" s="97" t="str">
        <f t="shared" si="84"/>
        <v/>
      </c>
      <c r="G303" s="80">
        <f t="shared" si="85"/>
        <v>290</v>
      </c>
      <c r="H303" s="80"/>
      <c r="I303" s="229" t="str">
        <f t="shared" si="86"/>
        <v/>
      </c>
      <c r="J303" s="229" t="str">
        <f t="shared" si="87"/>
        <v/>
      </c>
      <c r="K303" s="229" t="str">
        <f t="shared" si="88"/>
        <v/>
      </c>
      <c r="L303" s="97" t="str">
        <f t="shared" si="89"/>
        <v/>
      </c>
      <c r="M303" s="80">
        <f t="shared" si="90"/>
        <v>290</v>
      </c>
      <c r="N303" s="80"/>
      <c r="O303" s="229" t="str">
        <f t="shared" si="91"/>
        <v/>
      </c>
      <c r="P303" s="229" t="str">
        <f t="shared" si="92"/>
        <v/>
      </c>
      <c r="Q303" s="229" t="str">
        <f t="shared" si="93"/>
        <v/>
      </c>
      <c r="R303" s="97" t="str">
        <f t="shared" si="94"/>
        <v/>
      </c>
      <c r="S303" s="80">
        <f t="shared" si="95"/>
        <v>290</v>
      </c>
      <c r="T303" s="80"/>
      <c r="U303" s="229" t="str">
        <f t="shared" si="96"/>
        <v/>
      </c>
      <c r="V303" s="229" t="str">
        <f t="shared" si="97"/>
        <v/>
      </c>
      <c r="W303" s="229" t="str">
        <f t="shared" si="98"/>
        <v/>
      </c>
      <c r="X303" s="97" t="str">
        <f t="shared" si="99"/>
        <v/>
      </c>
    </row>
    <row r="304" spans="1:24" x14ac:dyDescent="0.2">
      <c r="A304" s="80">
        <f t="shared" si="80"/>
        <v>291</v>
      </c>
      <c r="B304" s="80"/>
      <c r="C304" s="229" t="str">
        <f t="shared" si="81"/>
        <v/>
      </c>
      <c r="D304" s="229" t="str">
        <f t="shared" si="82"/>
        <v/>
      </c>
      <c r="E304" s="229" t="str">
        <f t="shared" si="83"/>
        <v/>
      </c>
      <c r="F304" s="97" t="str">
        <f t="shared" si="84"/>
        <v/>
      </c>
      <c r="G304" s="80">
        <f t="shared" si="85"/>
        <v>291</v>
      </c>
      <c r="H304" s="80"/>
      <c r="I304" s="229" t="str">
        <f t="shared" si="86"/>
        <v/>
      </c>
      <c r="J304" s="229" t="str">
        <f t="shared" si="87"/>
        <v/>
      </c>
      <c r="K304" s="229" t="str">
        <f t="shared" si="88"/>
        <v/>
      </c>
      <c r="L304" s="97" t="str">
        <f t="shared" si="89"/>
        <v/>
      </c>
      <c r="M304" s="80">
        <f t="shared" si="90"/>
        <v>291</v>
      </c>
      <c r="N304" s="80"/>
      <c r="O304" s="229" t="str">
        <f t="shared" si="91"/>
        <v/>
      </c>
      <c r="P304" s="229" t="str">
        <f t="shared" si="92"/>
        <v/>
      </c>
      <c r="Q304" s="229" t="str">
        <f t="shared" si="93"/>
        <v/>
      </c>
      <c r="R304" s="97" t="str">
        <f t="shared" si="94"/>
        <v/>
      </c>
      <c r="S304" s="80">
        <f t="shared" si="95"/>
        <v>291</v>
      </c>
      <c r="T304" s="80"/>
      <c r="U304" s="229" t="str">
        <f t="shared" si="96"/>
        <v/>
      </c>
      <c r="V304" s="229" t="str">
        <f t="shared" si="97"/>
        <v/>
      </c>
      <c r="W304" s="229" t="str">
        <f t="shared" si="98"/>
        <v/>
      </c>
      <c r="X304" s="97" t="str">
        <f t="shared" si="99"/>
        <v/>
      </c>
    </row>
    <row r="305" spans="1:24" x14ac:dyDescent="0.2">
      <c r="A305" s="80">
        <f t="shared" si="80"/>
        <v>292</v>
      </c>
      <c r="B305" s="80"/>
      <c r="C305" s="229" t="str">
        <f t="shared" si="81"/>
        <v/>
      </c>
      <c r="D305" s="229" t="str">
        <f t="shared" si="82"/>
        <v/>
      </c>
      <c r="E305" s="229" t="str">
        <f t="shared" si="83"/>
        <v/>
      </c>
      <c r="F305" s="97" t="str">
        <f t="shared" si="84"/>
        <v/>
      </c>
      <c r="G305" s="80">
        <f t="shared" si="85"/>
        <v>292</v>
      </c>
      <c r="H305" s="80"/>
      <c r="I305" s="229" t="str">
        <f t="shared" si="86"/>
        <v/>
      </c>
      <c r="J305" s="229" t="str">
        <f t="shared" si="87"/>
        <v/>
      </c>
      <c r="K305" s="229" t="str">
        <f t="shared" si="88"/>
        <v/>
      </c>
      <c r="L305" s="97" t="str">
        <f t="shared" si="89"/>
        <v/>
      </c>
      <c r="M305" s="80">
        <f t="shared" si="90"/>
        <v>292</v>
      </c>
      <c r="N305" s="80"/>
      <c r="O305" s="229" t="str">
        <f t="shared" si="91"/>
        <v/>
      </c>
      <c r="P305" s="229" t="str">
        <f t="shared" si="92"/>
        <v/>
      </c>
      <c r="Q305" s="229" t="str">
        <f t="shared" si="93"/>
        <v/>
      </c>
      <c r="R305" s="97" t="str">
        <f t="shared" si="94"/>
        <v/>
      </c>
      <c r="S305" s="80">
        <f t="shared" si="95"/>
        <v>292</v>
      </c>
      <c r="T305" s="80"/>
      <c r="U305" s="229" t="str">
        <f t="shared" si="96"/>
        <v/>
      </c>
      <c r="V305" s="229" t="str">
        <f t="shared" si="97"/>
        <v/>
      </c>
      <c r="W305" s="229" t="str">
        <f t="shared" si="98"/>
        <v/>
      </c>
      <c r="X305" s="97" t="str">
        <f t="shared" si="99"/>
        <v/>
      </c>
    </row>
    <row r="306" spans="1:24" x14ac:dyDescent="0.2">
      <c r="A306" s="80">
        <f t="shared" si="80"/>
        <v>293</v>
      </c>
      <c r="B306" s="80"/>
      <c r="C306" s="229" t="str">
        <f t="shared" si="81"/>
        <v/>
      </c>
      <c r="D306" s="229" t="str">
        <f t="shared" si="82"/>
        <v/>
      </c>
      <c r="E306" s="229" t="str">
        <f t="shared" si="83"/>
        <v/>
      </c>
      <c r="F306" s="97" t="str">
        <f t="shared" si="84"/>
        <v/>
      </c>
      <c r="G306" s="80">
        <f t="shared" si="85"/>
        <v>293</v>
      </c>
      <c r="H306" s="80"/>
      <c r="I306" s="229" t="str">
        <f t="shared" si="86"/>
        <v/>
      </c>
      <c r="J306" s="229" t="str">
        <f t="shared" si="87"/>
        <v/>
      </c>
      <c r="K306" s="229" t="str">
        <f t="shared" si="88"/>
        <v/>
      </c>
      <c r="L306" s="97" t="str">
        <f t="shared" si="89"/>
        <v/>
      </c>
      <c r="M306" s="80">
        <f t="shared" si="90"/>
        <v>293</v>
      </c>
      <c r="N306" s="80"/>
      <c r="O306" s="229" t="str">
        <f t="shared" si="91"/>
        <v/>
      </c>
      <c r="P306" s="229" t="str">
        <f t="shared" si="92"/>
        <v/>
      </c>
      <c r="Q306" s="229" t="str">
        <f t="shared" si="93"/>
        <v/>
      </c>
      <c r="R306" s="97" t="str">
        <f t="shared" si="94"/>
        <v/>
      </c>
      <c r="S306" s="80">
        <f t="shared" si="95"/>
        <v>293</v>
      </c>
      <c r="T306" s="80"/>
      <c r="U306" s="229" t="str">
        <f t="shared" si="96"/>
        <v/>
      </c>
      <c r="V306" s="229" t="str">
        <f t="shared" si="97"/>
        <v/>
      </c>
      <c r="W306" s="229" t="str">
        <f t="shared" si="98"/>
        <v/>
      </c>
      <c r="X306" s="97" t="str">
        <f t="shared" si="99"/>
        <v/>
      </c>
    </row>
    <row r="307" spans="1:24" x14ac:dyDescent="0.2">
      <c r="A307" s="80">
        <f t="shared" si="80"/>
        <v>294</v>
      </c>
      <c r="B307" s="80"/>
      <c r="C307" s="229" t="str">
        <f t="shared" si="81"/>
        <v/>
      </c>
      <c r="D307" s="229" t="str">
        <f t="shared" si="82"/>
        <v/>
      </c>
      <c r="E307" s="229" t="str">
        <f t="shared" si="83"/>
        <v/>
      </c>
      <c r="F307" s="97" t="str">
        <f t="shared" si="84"/>
        <v/>
      </c>
      <c r="G307" s="80">
        <f t="shared" si="85"/>
        <v>294</v>
      </c>
      <c r="H307" s="80"/>
      <c r="I307" s="229" t="str">
        <f t="shared" si="86"/>
        <v/>
      </c>
      <c r="J307" s="229" t="str">
        <f t="shared" si="87"/>
        <v/>
      </c>
      <c r="K307" s="229" t="str">
        <f t="shared" si="88"/>
        <v/>
      </c>
      <c r="L307" s="97" t="str">
        <f t="shared" si="89"/>
        <v/>
      </c>
      <c r="M307" s="80">
        <f t="shared" si="90"/>
        <v>294</v>
      </c>
      <c r="N307" s="80"/>
      <c r="O307" s="229" t="str">
        <f t="shared" si="91"/>
        <v/>
      </c>
      <c r="P307" s="229" t="str">
        <f t="shared" si="92"/>
        <v/>
      </c>
      <c r="Q307" s="229" t="str">
        <f t="shared" si="93"/>
        <v/>
      </c>
      <c r="R307" s="97" t="str">
        <f t="shared" si="94"/>
        <v/>
      </c>
      <c r="S307" s="80">
        <f t="shared" si="95"/>
        <v>294</v>
      </c>
      <c r="T307" s="80"/>
      <c r="U307" s="229" t="str">
        <f t="shared" si="96"/>
        <v/>
      </c>
      <c r="V307" s="229" t="str">
        <f t="shared" si="97"/>
        <v/>
      </c>
      <c r="W307" s="229" t="str">
        <f t="shared" si="98"/>
        <v/>
      </c>
      <c r="X307" s="97" t="str">
        <f t="shared" si="99"/>
        <v/>
      </c>
    </row>
    <row r="308" spans="1:24" x14ac:dyDescent="0.2">
      <c r="A308" s="80">
        <f t="shared" si="80"/>
        <v>295</v>
      </c>
      <c r="B308" s="80"/>
      <c r="C308" s="229" t="str">
        <f t="shared" si="81"/>
        <v/>
      </c>
      <c r="D308" s="229" t="str">
        <f t="shared" si="82"/>
        <v/>
      </c>
      <c r="E308" s="229" t="str">
        <f t="shared" si="83"/>
        <v/>
      </c>
      <c r="F308" s="97" t="str">
        <f t="shared" si="84"/>
        <v/>
      </c>
      <c r="G308" s="80">
        <f t="shared" si="85"/>
        <v>295</v>
      </c>
      <c r="H308" s="80"/>
      <c r="I308" s="229" t="str">
        <f t="shared" si="86"/>
        <v/>
      </c>
      <c r="J308" s="229" t="str">
        <f t="shared" si="87"/>
        <v/>
      </c>
      <c r="K308" s="229" t="str">
        <f t="shared" si="88"/>
        <v/>
      </c>
      <c r="L308" s="97" t="str">
        <f t="shared" si="89"/>
        <v/>
      </c>
      <c r="M308" s="80">
        <f t="shared" si="90"/>
        <v>295</v>
      </c>
      <c r="N308" s="80"/>
      <c r="O308" s="229" t="str">
        <f t="shared" si="91"/>
        <v/>
      </c>
      <c r="P308" s="229" t="str">
        <f t="shared" si="92"/>
        <v/>
      </c>
      <c r="Q308" s="229" t="str">
        <f t="shared" si="93"/>
        <v/>
      </c>
      <c r="R308" s="97" t="str">
        <f t="shared" si="94"/>
        <v/>
      </c>
      <c r="S308" s="80">
        <f t="shared" si="95"/>
        <v>295</v>
      </c>
      <c r="T308" s="80"/>
      <c r="U308" s="229" t="str">
        <f t="shared" si="96"/>
        <v/>
      </c>
      <c r="V308" s="229" t="str">
        <f t="shared" si="97"/>
        <v/>
      </c>
      <c r="W308" s="229" t="str">
        <f t="shared" si="98"/>
        <v/>
      </c>
      <c r="X308" s="97" t="str">
        <f t="shared" si="99"/>
        <v/>
      </c>
    </row>
    <row r="309" spans="1:24" x14ac:dyDescent="0.2">
      <c r="A309" s="80">
        <f t="shared" si="80"/>
        <v>296</v>
      </c>
      <c r="B309" s="80"/>
      <c r="C309" s="229" t="str">
        <f t="shared" si="81"/>
        <v/>
      </c>
      <c r="D309" s="229" t="str">
        <f t="shared" si="82"/>
        <v/>
      </c>
      <c r="E309" s="229" t="str">
        <f t="shared" si="83"/>
        <v/>
      </c>
      <c r="F309" s="97" t="str">
        <f t="shared" si="84"/>
        <v/>
      </c>
      <c r="G309" s="80">
        <f t="shared" si="85"/>
        <v>296</v>
      </c>
      <c r="H309" s="80"/>
      <c r="I309" s="229" t="str">
        <f t="shared" si="86"/>
        <v/>
      </c>
      <c r="J309" s="229" t="str">
        <f t="shared" si="87"/>
        <v/>
      </c>
      <c r="K309" s="229" t="str">
        <f t="shared" si="88"/>
        <v/>
      </c>
      <c r="L309" s="97" t="str">
        <f t="shared" si="89"/>
        <v/>
      </c>
      <c r="M309" s="80">
        <f t="shared" si="90"/>
        <v>296</v>
      </c>
      <c r="N309" s="80"/>
      <c r="O309" s="229" t="str">
        <f t="shared" si="91"/>
        <v/>
      </c>
      <c r="P309" s="229" t="str">
        <f t="shared" si="92"/>
        <v/>
      </c>
      <c r="Q309" s="229" t="str">
        <f t="shared" si="93"/>
        <v/>
      </c>
      <c r="R309" s="97" t="str">
        <f t="shared" si="94"/>
        <v/>
      </c>
      <c r="S309" s="80">
        <f t="shared" si="95"/>
        <v>296</v>
      </c>
      <c r="T309" s="80"/>
      <c r="U309" s="229" t="str">
        <f t="shared" si="96"/>
        <v/>
      </c>
      <c r="V309" s="229" t="str">
        <f t="shared" si="97"/>
        <v/>
      </c>
      <c r="W309" s="229" t="str">
        <f t="shared" si="98"/>
        <v/>
      </c>
      <c r="X309" s="97" t="str">
        <f t="shared" si="99"/>
        <v/>
      </c>
    </row>
    <row r="310" spans="1:24" x14ac:dyDescent="0.2">
      <c r="A310" s="80">
        <f t="shared" si="80"/>
        <v>297</v>
      </c>
      <c r="B310" s="80"/>
      <c r="C310" s="229" t="str">
        <f t="shared" si="81"/>
        <v/>
      </c>
      <c r="D310" s="229" t="str">
        <f t="shared" si="82"/>
        <v/>
      </c>
      <c r="E310" s="229" t="str">
        <f t="shared" si="83"/>
        <v/>
      </c>
      <c r="F310" s="97" t="str">
        <f t="shared" si="84"/>
        <v/>
      </c>
      <c r="G310" s="80">
        <f t="shared" si="85"/>
        <v>297</v>
      </c>
      <c r="H310" s="80"/>
      <c r="I310" s="229" t="str">
        <f t="shared" si="86"/>
        <v/>
      </c>
      <c r="J310" s="229" t="str">
        <f t="shared" si="87"/>
        <v/>
      </c>
      <c r="K310" s="229" t="str">
        <f t="shared" si="88"/>
        <v/>
      </c>
      <c r="L310" s="97" t="str">
        <f t="shared" si="89"/>
        <v/>
      </c>
      <c r="M310" s="80">
        <f t="shared" si="90"/>
        <v>297</v>
      </c>
      <c r="N310" s="80"/>
      <c r="O310" s="229" t="str">
        <f t="shared" si="91"/>
        <v/>
      </c>
      <c r="P310" s="229" t="str">
        <f t="shared" si="92"/>
        <v/>
      </c>
      <c r="Q310" s="229" t="str">
        <f t="shared" si="93"/>
        <v/>
      </c>
      <c r="R310" s="97" t="str">
        <f t="shared" si="94"/>
        <v/>
      </c>
      <c r="S310" s="80">
        <f t="shared" si="95"/>
        <v>297</v>
      </c>
      <c r="T310" s="80"/>
      <c r="U310" s="229" t="str">
        <f t="shared" si="96"/>
        <v/>
      </c>
      <c r="V310" s="229" t="str">
        <f t="shared" si="97"/>
        <v/>
      </c>
      <c r="W310" s="229" t="str">
        <f t="shared" si="98"/>
        <v/>
      </c>
      <c r="X310" s="97" t="str">
        <f t="shared" si="99"/>
        <v/>
      </c>
    </row>
    <row r="311" spans="1:24" x14ac:dyDescent="0.2">
      <c r="A311" s="80">
        <f t="shared" si="80"/>
        <v>298</v>
      </c>
      <c r="B311" s="80"/>
      <c r="C311" s="229" t="str">
        <f t="shared" si="81"/>
        <v/>
      </c>
      <c r="D311" s="229" t="str">
        <f t="shared" si="82"/>
        <v/>
      </c>
      <c r="E311" s="229" t="str">
        <f t="shared" si="83"/>
        <v/>
      </c>
      <c r="F311" s="97" t="str">
        <f t="shared" si="84"/>
        <v/>
      </c>
      <c r="G311" s="80">
        <f t="shared" si="85"/>
        <v>298</v>
      </c>
      <c r="H311" s="80"/>
      <c r="I311" s="229" t="str">
        <f t="shared" si="86"/>
        <v/>
      </c>
      <c r="J311" s="229" t="str">
        <f t="shared" si="87"/>
        <v/>
      </c>
      <c r="K311" s="229" t="str">
        <f t="shared" si="88"/>
        <v/>
      </c>
      <c r="L311" s="97" t="str">
        <f t="shared" si="89"/>
        <v/>
      </c>
      <c r="M311" s="80">
        <f t="shared" si="90"/>
        <v>298</v>
      </c>
      <c r="N311" s="80"/>
      <c r="O311" s="229" t="str">
        <f t="shared" si="91"/>
        <v/>
      </c>
      <c r="P311" s="229" t="str">
        <f t="shared" si="92"/>
        <v/>
      </c>
      <c r="Q311" s="229" t="str">
        <f t="shared" si="93"/>
        <v/>
      </c>
      <c r="R311" s="97" t="str">
        <f t="shared" si="94"/>
        <v/>
      </c>
      <c r="S311" s="80">
        <f t="shared" si="95"/>
        <v>298</v>
      </c>
      <c r="T311" s="80"/>
      <c r="U311" s="229" t="str">
        <f t="shared" si="96"/>
        <v/>
      </c>
      <c r="V311" s="229" t="str">
        <f t="shared" si="97"/>
        <v/>
      </c>
      <c r="W311" s="229" t="str">
        <f t="shared" si="98"/>
        <v/>
      </c>
      <c r="X311" s="97" t="str">
        <f t="shared" si="99"/>
        <v/>
      </c>
    </row>
    <row r="312" spans="1:24" x14ac:dyDescent="0.2">
      <c r="A312" s="80">
        <f t="shared" si="80"/>
        <v>299</v>
      </c>
      <c r="B312" s="80"/>
      <c r="C312" s="229" t="str">
        <f t="shared" si="81"/>
        <v/>
      </c>
      <c r="D312" s="229" t="str">
        <f t="shared" si="82"/>
        <v/>
      </c>
      <c r="E312" s="229" t="str">
        <f t="shared" si="83"/>
        <v/>
      </c>
      <c r="F312" s="97" t="str">
        <f t="shared" si="84"/>
        <v/>
      </c>
      <c r="G312" s="80">
        <f t="shared" si="85"/>
        <v>299</v>
      </c>
      <c r="H312" s="80"/>
      <c r="I312" s="229" t="str">
        <f t="shared" si="86"/>
        <v/>
      </c>
      <c r="J312" s="229" t="str">
        <f t="shared" si="87"/>
        <v/>
      </c>
      <c r="K312" s="229" t="str">
        <f t="shared" si="88"/>
        <v/>
      </c>
      <c r="L312" s="97" t="str">
        <f t="shared" si="89"/>
        <v/>
      </c>
      <c r="M312" s="80">
        <f t="shared" si="90"/>
        <v>299</v>
      </c>
      <c r="N312" s="80"/>
      <c r="O312" s="229" t="str">
        <f t="shared" si="91"/>
        <v/>
      </c>
      <c r="P312" s="229" t="str">
        <f t="shared" si="92"/>
        <v/>
      </c>
      <c r="Q312" s="229" t="str">
        <f t="shared" si="93"/>
        <v/>
      </c>
      <c r="R312" s="97" t="str">
        <f t="shared" si="94"/>
        <v/>
      </c>
      <c r="S312" s="80">
        <f t="shared" si="95"/>
        <v>299</v>
      </c>
      <c r="T312" s="80"/>
      <c r="U312" s="229" t="str">
        <f t="shared" si="96"/>
        <v/>
      </c>
      <c r="V312" s="229" t="str">
        <f t="shared" si="97"/>
        <v/>
      </c>
      <c r="W312" s="229" t="str">
        <f t="shared" si="98"/>
        <v/>
      </c>
      <c r="X312" s="97" t="str">
        <f t="shared" si="99"/>
        <v/>
      </c>
    </row>
    <row r="313" spans="1:24" x14ac:dyDescent="0.2">
      <c r="A313" s="80">
        <f t="shared" si="80"/>
        <v>300</v>
      </c>
      <c r="B313" s="80"/>
      <c r="C313" s="229" t="str">
        <f t="shared" si="81"/>
        <v/>
      </c>
      <c r="D313" s="229" t="str">
        <f t="shared" si="82"/>
        <v/>
      </c>
      <c r="E313" s="229" t="str">
        <f t="shared" si="83"/>
        <v/>
      </c>
      <c r="F313" s="97" t="str">
        <f t="shared" si="84"/>
        <v/>
      </c>
      <c r="G313" s="80">
        <f t="shared" si="85"/>
        <v>300</v>
      </c>
      <c r="H313" s="80"/>
      <c r="I313" s="229" t="str">
        <f t="shared" si="86"/>
        <v/>
      </c>
      <c r="J313" s="229" t="str">
        <f t="shared" si="87"/>
        <v/>
      </c>
      <c r="K313" s="229" t="str">
        <f t="shared" si="88"/>
        <v/>
      </c>
      <c r="L313" s="97" t="str">
        <f t="shared" si="89"/>
        <v/>
      </c>
      <c r="M313" s="80">
        <f t="shared" si="90"/>
        <v>300</v>
      </c>
      <c r="N313" s="80"/>
      <c r="O313" s="229" t="str">
        <f t="shared" si="91"/>
        <v/>
      </c>
      <c r="P313" s="229" t="str">
        <f t="shared" si="92"/>
        <v/>
      </c>
      <c r="Q313" s="229" t="str">
        <f t="shared" si="93"/>
        <v/>
      </c>
      <c r="R313" s="97" t="str">
        <f t="shared" si="94"/>
        <v/>
      </c>
      <c r="S313" s="80">
        <f t="shared" si="95"/>
        <v>300</v>
      </c>
      <c r="T313" s="80"/>
      <c r="U313" s="229" t="str">
        <f t="shared" si="96"/>
        <v/>
      </c>
      <c r="V313" s="229" t="str">
        <f t="shared" si="97"/>
        <v/>
      </c>
      <c r="W313" s="229" t="str">
        <f t="shared" si="98"/>
        <v/>
      </c>
      <c r="X313" s="97" t="str">
        <f t="shared" si="99"/>
        <v/>
      </c>
    </row>
    <row r="314" spans="1:24" x14ac:dyDescent="0.2">
      <c r="A314" s="80">
        <f t="shared" si="80"/>
        <v>301</v>
      </c>
      <c r="B314" s="80"/>
      <c r="C314" s="229" t="str">
        <f t="shared" si="81"/>
        <v/>
      </c>
      <c r="D314" s="229" t="str">
        <f t="shared" si="82"/>
        <v/>
      </c>
      <c r="E314" s="229" t="str">
        <f t="shared" si="83"/>
        <v/>
      </c>
      <c r="F314" s="97" t="str">
        <f t="shared" si="84"/>
        <v/>
      </c>
      <c r="G314" s="80">
        <f t="shared" si="85"/>
        <v>301</v>
      </c>
      <c r="H314" s="80"/>
      <c r="I314" s="229" t="str">
        <f t="shared" si="86"/>
        <v/>
      </c>
      <c r="J314" s="229" t="str">
        <f t="shared" si="87"/>
        <v/>
      </c>
      <c r="K314" s="229" t="str">
        <f t="shared" si="88"/>
        <v/>
      </c>
      <c r="L314" s="97" t="str">
        <f t="shared" si="89"/>
        <v/>
      </c>
      <c r="M314" s="80">
        <f t="shared" si="90"/>
        <v>301</v>
      </c>
      <c r="N314" s="80"/>
      <c r="O314" s="229" t="str">
        <f t="shared" si="91"/>
        <v/>
      </c>
      <c r="P314" s="229" t="str">
        <f t="shared" si="92"/>
        <v/>
      </c>
      <c r="Q314" s="229" t="str">
        <f t="shared" si="93"/>
        <v/>
      </c>
      <c r="R314" s="97" t="str">
        <f t="shared" si="94"/>
        <v/>
      </c>
      <c r="S314" s="80">
        <f t="shared" si="95"/>
        <v>301</v>
      </c>
      <c r="T314" s="80"/>
      <c r="U314" s="229" t="str">
        <f t="shared" si="96"/>
        <v/>
      </c>
      <c r="V314" s="229" t="str">
        <f t="shared" si="97"/>
        <v/>
      </c>
      <c r="W314" s="229" t="str">
        <f t="shared" si="98"/>
        <v/>
      </c>
      <c r="X314" s="97" t="str">
        <f t="shared" si="99"/>
        <v/>
      </c>
    </row>
    <row r="315" spans="1:24" x14ac:dyDescent="0.2">
      <c r="A315" s="80">
        <f t="shared" si="80"/>
        <v>302</v>
      </c>
      <c r="B315" s="80"/>
      <c r="C315" s="229" t="str">
        <f t="shared" si="81"/>
        <v/>
      </c>
      <c r="D315" s="229" t="str">
        <f t="shared" si="82"/>
        <v/>
      </c>
      <c r="E315" s="229" t="str">
        <f t="shared" si="83"/>
        <v/>
      </c>
      <c r="F315" s="97" t="str">
        <f t="shared" si="84"/>
        <v/>
      </c>
      <c r="G315" s="80">
        <f t="shared" si="85"/>
        <v>302</v>
      </c>
      <c r="H315" s="80"/>
      <c r="I315" s="229" t="str">
        <f t="shared" si="86"/>
        <v/>
      </c>
      <c r="J315" s="229" t="str">
        <f t="shared" si="87"/>
        <v/>
      </c>
      <c r="K315" s="229" t="str">
        <f t="shared" si="88"/>
        <v/>
      </c>
      <c r="L315" s="97" t="str">
        <f t="shared" si="89"/>
        <v/>
      </c>
      <c r="M315" s="80">
        <f t="shared" si="90"/>
        <v>302</v>
      </c>
      <c r="N315" s="80"/>
      <c r="O315" s="229" t="str">
        <f t="shared" si="91"/>
        <v/>
      </c>
      <c r="P315" s="229" t="str">
        <f t="shared" si="92"/>
        <v/>
      </c>
      <c r="Q315" s="229" t="str">
        <f t="shared" si="93"/>
        <v/>
      </c>
      <c r="R315" s="97" t="str">
        <f t="shared" si="94"/>
        <v/>
      </c>
      <c r="S315" s="80">
        <f t="shared" si="95"/>
        <v>302</v>
      </c>
      <c r="T315" s="80"/>
      <c r="U315" s="229" t="str">
        <f t="shared" si="96"/>
        <v/>
      </c>
      <c r="V315" s="229" t="str">
        <f t="shared" si="97"/>
        <v/>
      </c>
      <c r="W315" s="229" t="str">
        <f t="shared" si="98"/>
        <v/>
      </c>
      <c r="X315" s="97" t="str">
        <f t="shared" si="99"/>
        <v/>
      </c>
    </row>
    <row r="316" spans="1:24" x14ac:dyDescent="0.2">
      <c r="A316" s="80">
        <f t="shared" si="80"/>
        <v>303</v>
      </c>
      <c r="B316" s="80"/>
      <c r="C316" s="229" t="str">
        <f t="shared" si="81"/>
        <v/>
      </c>
      <c r="D316" s="229" t="str">
        <f t="shared" si="82"/>
        <v/>
      </c>
      <c r="E316" s="229" t="str">
        <f t="shared" si="83"/>
        <v/>
      </c>
      <c r="F316" s="97" t="str">
        <f t="shared" si="84"/>
        <v/>
      </c>
      <c r="G316" s="80">
        <f t="shared" si="85"/>
        <v>303</v>
      </c>
      <c r="H316" s="80"/>
      <c r="I316" s="229" t="str">
        <f t="shared" si="86"/>
        <v/>
      </c>
      <c r="J316" s="229" t="str">
        <f t="shared" si="87"/>
        <v/>
      </c>
      <c r="K316" s="229" t="str">
        <f t="shared" si="88"/>
        <v/>
      </c>
      <c r="L316" s="97" t="str">
        <f t="shared" si="89"/>
        <v/>
      </c>
      <c r="M316" s="80">
        <f t="shared" si="90"/>
        <v>303</v>
      </c>
      <c r="N316" s="80"/>
      <c r="O316" s="229" t="str">
        <f t="shared" si="91"/>
        <v/>
      </c>
      <c r="P316" s="229" t="str">
        <f t="shared" si="92"/>
        <v/>
      </c>
      <c r="Q316" s="229" t="str">
        <f t="shared" si="93"/>
        <v/>
      </c>
      <c r="R316" s="97" t="str">
        <f t="shared" si="94"/>
        <v/>
      </c>
      <c r="S316" s="80">
        <f t="shared" si="95"/>
        <v>303</v>
      </c>
      <c r="T316" s="80"/>
      <c r="U316" s="229" t="str">
        <f t="shared" si="96"/>
        <v/>
      </c>
      <c r="V316" s="229" t="str">
        <f t="shared" si="97"/>
        <v/>
      </c>
      <c r="W316" s="229" t="str">
        <f t="shared" si="98"/>
        <v/>
      </c>
      <c r="X316" s="97" t="str">
        <f t="shared" si="99"/>
        <v/>
      </c>
    </row>
    <row r="317" spans="1:24" x14ac:dyDescent="0.2">
      <c r="A317" s="80">
        <f t="shared" si="80"/>
        <v>304</v>
      </c>
      <c r="B317" s="80"/>
      <c r="C317" s="229" t="str">
        <f t="shared" si="81"/>
        <v/>
      </c>
      <c r="D317" s="229" t="str">
        <f t="shared" si="82"/>
        <v/>
      </c>
      <c r="E317" s="229" t="str">
        <f t="shared" si="83"/>
        <v/>
      </c>
      <c r="F317" s="97" t="str">
        <f t="shared" si="84"/>
        <v/>
      </c>
      <c r="G317" s="80">
        <f t="shared" si="85"/>
        <v>304</v>
      </c>
      <c r="H317" s="80"/>
      <c r="I317" s="229" t="str">
        <f t="shared" si="86"/>
        <v/>
      </c>
      <c r="J317" s="229" t="str">
        <f t="shared" si="87"/>
        <v/>
      </c>
      <c r="K317" s="229" t="str">
        <f t="shared" si="88"/>
        <v/>
      </c>
      <c r="L317" s="97" t="str">
        <f t="shared" si="89"/>
        <v/>
      </c>
      <c r="M317" s="80">
        <f t="shared" si="90"/>
        <v>304</v>
      </c>
      <c r="N317" s="80"/>
      <c r="O317" s="229" t="str">
        <f t="shared" si="91"/>
        <v/>
      </c>
      <c r="P317" s="229" t="str">
        <f t="shared" si="92"/>
        <v/>
      </c>
      <c r="Q317" s="229" t="str">
        <f t="shared" si="93"/>
        <v/>
      </c>
      <c r="R317" s="97" t="str">
        <f t="shared" si="94"/>
        <v/>
      </c>
      <c r="S317" s="80">
        <f t="shared" si="95"/>
        <v>304</v>
      </c>
      <c r="T317" s="80"/>
      <c r="U317" s="229" t="str">
        <f t="shared" si="96"/>
        <v/>
      </c>
      <c r="V317" s="229" t="str">
        <f t="shared" si="97"/>
        <v/>
      </c>
      <c r="W317" s="229" t="str">
        <f t="shared" si="98"/>
        <v/>
      </c>
      <c r="X317" s="97" t="str">
        <f t="shared" si="99"/>
        <v/>
      </c>
    </row>
    <row r="318" spans="1:24" x14ac:dyDescent="0.2">
      <c r="A318" s="80">
        <f t="shared" si="80"/>
        <v>305</v>
      </c>
      <c r="B318" s="80"/>
      <c r="C318" s="229" t="str">
        <f t="shared" si="81"/>
        <v/>
      </c>
      <c r="D318" s="229" t="str">
        <f t="shared" si="82"/>
        <v/>
      </c>
      <c r="E318" s="229" t="str">
        <f t="shared" si="83"/>
        <v/>
      </c>
      <c r="F318" s="97" t="str">
        <f t="shared" si="84"/>
        <v/>
      </c>
      <c r="G318" s="80">
        <f t="shared" si="85"/>
        <v>305</v>
      </c>
      <c r="H318" s="80"/>
      <c r="I318" s="229" t="str">
        <f t="shared" si="86"/>
        <v/>
      </c>
      <c r="J318" s="229" t="str">
        <f t="shared" si="87"/>
        <v/>
      </c>
      <c r="K318" s="229" t="str">
        <f t="shared" si="88"/>
        <v/>
      </c>
      <c r="L318" s="97" t="str">
        <f t="shared" si="89"/>
        <v/>
      </c>
      <c r="M318" s="80">
        <f t="shared" si="90"/>
        <v>305</v>
      </c>
      <c r="N318" s="80"/>
      <c r="O318" s="229" t="str">
        <f t="shared" si="91"/>
        <v/>
      </c>
      <c r="P318" s="229" t="str">
        <f t="shared" si="92"/>
        <v/>
      </c>
      <c r="Q318" s="229" t="str">
        <f t="shared" si="93"/>
        <v/>
      </c>
      <c r="R318" s="97" t="str">
        <f t="shared" si="94"/>
        <v/>
      </c>
      <c r="S318" s="80">
        <f t="shared" si="95"/>
        <v>305</v>
      </c>
      <c r="T318" s="80"/>
      <c r="U318" s="229" t="str">
        <f t="shared" si="96"/>
        <v/>
      </c>
      <c r="V318" s="229" t="str">
        <f t="shared" si="97"/>
        <v/>
      </c>
      <c r="W318" s="229" t="str">
        <f t="shared" si="98"/>
        <v/>
      </c>
      <c r="X318" s="97" t="str">
        <f t="shared" si="99"/>
        <v/>
      </c>
    </row>
    <row r="319" spans="1:24" x14ac:dyDescent="0.2">
      <c r="A319" s="80">
        <f t="shared" si="80"/>
        <v>306</v>
      </c>
      <c r="B319" s="80"/>
      <c r="C319" s="229" t="str">
        <f t="shared" si="81"/>
        <v/>
      </c>
      <c r="D319" s="229" t="str">
        <f t="shared" si="82"/>
        <v/>
      </c>
      <c r="E319" s="229" t="str">
        <f t="shared" si="83"/>
        <v/>
      </c>
      <c r="F319" s="97" t="str">
        <f t="shared" si="84"/>
        <v/>
      </c>
      <c r="G319" s="80">
        <f t="shared" si="85"/>
        <v>306</v>
      </c>
      <c r="H319" s="80"/>
      <c r="I319" s="229" t="str">
        <f t="shared" si="86"/>
        <v/>
      </c>
      <c r="J319" s="229" t="str">
        <f t="shared" si="87"/>
        <v/>
      </c>
      <c r="K319" s="229" t="str">
        <f t="shared" si="88"/>
        <v/>
      </c>
      <c r="L319" s="97" t="str">
        <f t="shared" si="89"/>
        <v/>
      </c>
      <c r="M319" s="80">
        <f t="shared" si="90"/>
        <v>306</v>
      </c>
      <c r="N319" s="80"/>
      <c r="O319" s="229" t="str">
        <f t="shared" si="91"/>
        <v/>
      </c>
      <c r="P319" s="229" t="str">
        <f t="shared" si="92"/>
        <v/>
      </c>
      <c r="Q319" s="229" t="str">
        <f t="shared" si="93"/>
        <v/>
      </c>
      <c r="R319" s="97" t="str">
        <f t="shared" si="94"/>
        <v/>
      </c>
      <c r="S319" s="80">
        <f t="shared" si="95"/>
        <v>306</v>
      </c>
      <c r="T319" s="80"/>
      <c r="U319" s="229" t="str">
        <f t="shared" si="96"/>
        <v/>
      </c>
      <c r="V319" s="229" t="str">
        <f t="shared" si="97"/>
        <v/>
      </c>
      <c r="W319" s="229" t="str">
        <f t="shared" si="98"/>
        <v/>
      </c>
      <c r="X319" s="97" t="str">
        <f t="shared" si="99"/>
        <v/>
      </c>
    </row>
    <row r="320" spans="1:24" x14ac:dyDescent="0.2">
      <c r="A320" s="80">
        <f t="shared" si="80"/>
        <v>307</v>
      </c>
      <c r="B320" s="80"/>
      <c r="C320" s="229" t="str">
        <f t="shared" si="81"/>
        <v/>
      </c>
      <c r="D320" s="229" t="str">
        <f t="shared" si="82"/>
        <v/>
      </c>
      <c r="E320" s="229" t="str">
        <f t="shared" si="83"/>
        <v/>
      </c>
      <c r="F320" s="97" t="str">
        <f t="shared" si="84"/>
        <v/>
      </c>
      <c r="G320" s="80">
        <f t="shared" si="85"/>
        <v>307</v>
      </c>
      <c r="H320" s="80"/>
      <c r="I320" s="229" t="str">
        <f t="shared" si="86"/>
        <v/>
      </c>
      <c r="J320" s="229" t="str">
        <f t="shared" si="87"/>
        <v/>
      </c>
      <c r="K320" s="229" t="str">
        <f t="shared" si="88"/>
        <v/>
      </c>
      <c r="L320" s="97" t="str">
        <f t="shared" si="89"/>
        <v/>
      </c>
      <c r="M320" s="80">
        <f t="shared" si="90"/>
        <v>307</v>
      </c>
      <c r="N320" s="80"/>
      <c r="O320" s="229" t="str">
        <f t="shared" si="91"/>
        <v/>
      </c>
      <c r="P320" s="229" t="str">
        <f t="shared" si="92"/>
        <v/>
      </c>
      <c r="Q320" s="229" t="str">
        <f t="shared" si="93"/>
        <v/>
      </c>
      <c r="R320" s="97" t="str">
        <f t="shared" si="94"/>
        <v/>
      </c>
      <c r="S320" s="80">
        <f t="shared" si="95"/>
        <v>307</v>
      </c>
      <c r="T320" s="80"/>
      <c r="U320" s="229" t="str">
        <f t="shared" si="96"/>
        <v/>
      </c>
      <c r="V320" s="229" t="str">
        <f t="shared" si="97"/>
        <v/>
      </c>
      <c r="W320" s="229" t="str">
        <f t="shared" si="98"/>
        <v/>
      </c>
      <c r="X320" s="97" t="str">
        <f t="shared" si="99"/>
        <v/>
      </c>
    </row>
    <row r="321" spans="1:24" x14ac:dyDescent="0.2">
      <c r="A321" s="80">
        <f t="shared" si="80"/>
        <v>308</v>
      </c>
      <c r="B321" s="80"/>
      <c r="C321" s="229" t="str">
        <f t="shared" si="81"/>
        <v/>
      </c>
      <c r="D321" s="229" t="str">
        <f t="shared" si="82"/>
        <v/>
      </c>
      <c r="E321" s="229" t="str">
        <f t="shared" si="83"/>
        <v/>
      </c>
      <c r="F321" s="97" t="str">
        <f t="shared" si="84"/>
        <v/>
      </c>
      <c r="G321" s="80">
        <f t="shared" si="85"/>
        <v>308</v>
      </c>
      <c r="H321" s="80"/>
      <c r="I321" s="229" t="str">
        <f t="shared" si="86"/>
        <v/>
      </c>
      <c r="J321" s="229" t="str">
        <f t="shared" si="87"/>
        <v/>
      </c>
      <c r="K321" s="229" t="str">
        <f t="shared" si="88"/>
        <v/>
      </c>
      <c r="L321" s="97" t="str">
        <f t="shared" si="89"/>
        <v/>
      </c>
      <c r="M321" s="80">
        <f t="shared" si="90"/>
        <v>308</v>
      </c>
      <c r="N321" s="80"/>
      <c r="O321" s="229" t="str">
        <f t="shared" si="91"/>
        <v/>
      </c>
      <c r="P321" s="229" t="str">
        <f t="shared" si="92"/>
        <v/>
      </c>
      <c r="Q321" s="229" t="str">
        <f t="shared" si="93"/>
        <v/>
      </c>
      <c r="R321" s="97" t="str">
        <f t="shared" si="94"/>
        <v/>
      </c>
      <c r="S321" s="80">
        <f t="shared" si="95"/>
        <v>308</v>
      </c>
      <c r="T321" s="80"/>
      <c r="U321" s="229" t="str">
        <f t="shared" si="96"/>
        <v/>
      </c>
      <c r="V321" s="229" t="str">
        <f t="shared" si="97"/>
        <v/>
      </c>
      <c r="W321" s="229" t="str">
        <f t="shared" si="98"/>
        <v/>
      </c>
      <c r="X321" s="97" t="str">
        <f t="shared" si="99"/>
        <v/>
      </c>
    </row>
    <row r="322" spans="1:24" x14ac:dyDescent="0.2">
      <c r="A322" s="80">
        <f t="shared" si="80"/>
        <v>309</v>
      </c>
      <c r="B322" s="80"/>
      <c r="C322" s="229" t="str">
        <f t="shared" si="81"/>
        <v/>
      </c>
      <c r="D322" s="229" t="str">
        <f t="shared" si="82"/>
        <v/>
      </c>
      <c r="E322" s="229" t="str">
        <f t="shared" si="83"/>
        <v/>
      </c>
      <c r="F322" s="97" t="str">
        <f t="shared" si="84"/>
        <v/>
      </c>
      <c r="G322" s="80">
        <f t="shared" si="85"/>
        <v>309</v>
      </c>
      <c r="H322" s="80"/>
      <c r="I322" s="229" t="str">
        <f t="shared" si="86"/>
        <v/>
      </c>
      <c r="J322" s="229" t="str">
        <f t="shared" si="87"/>
        <v/>
      </c>
      <c r="K322" s="229" t="str">
        <f t="shared" si="88"/>
        <v/>
      </c>
      <c r="L322" s="97" t="str">
        <f t="shared" si="89"/>
        <v/>
      </c>
      <c r="M322" s="80">
        <f t="shared" si="90"/>
        <v>309</v>
      </c>
      <c r="N322" s="80"/>
      <c r="O322" s="229" t="str">
        <f t="shared" si="91"/>
        <v/>
      </c>
      <c r="P322" s="229" t="str">
        <f t="shared" si="92"/>
        <v/>
      </c>
      <c r="Q322" s="229" t="str">
        <f t="shared" si="93"/>
        <v/>
      </c>
      <c r="R322" s="97" t="str">
        <f t="shared" si="94"/>
        <v/>
      </c>
      <c r="S322" s="80">
        <f t="shared" si="95"/>
        <v>309</v>
      </c>
      <c r="T322" s="80"/>
      <c r="U322" s="229" t="str">
        <f t="shared" si="96"/>
        <v/>
      </c>
      <c r="V322" s="229" t="str">
        <f t="shared" si="97"/>
        <v/>
      </c>
      <c r="W322" s="229" t="str">
        <f t="shared" si="98"/>
        <v/>
      </c>
      <c r="X322" s="97" t="str">
        <f t="shared" si="99"/>
        <v/>
      </c>
    </row>
    <row r="323" spans="1:24" x14ac:dyDescent="0.2">
      <c r="A323" s="80">
        <f t="shared" si="80"/>
        <v>310</v>
      </c>
      <c r="B323" s="80"/>
      <c r="C323" s="229" t="str">
        <f t="shared" si="81"/>
        <v/>
      </c>
      <c r="D323" s="229" t="str">
        <f t="shared" si="82"/>
        <v/>
      </c>
      <c r="E323" s="229" t="str">
        <f t="shared" si="83"/>
        <v/>
      </c>
      <c r="F323" s="97" t="str">
        <f t="shared" si="84"/>
        <v/>
      </c>
      <c r="G323" s="80">
        <f t="shared" si="85"/>
        <v>310</v>
      </c>
      <c r="H323" s="80"/>
      <c r="I323" s="229" t="str">
        <f t="shared" si="86"/>
        <v/>
      </c>
      <c r="J323" s="229" t="str">
        <f t="shared" si="87"/>
        <v/>
      </c>
      <c r="K323" s="229" t="str">
        <f t="shared" si="88"/>
        <v/>
      </c>
      <c r="L323" s="97" t="str">
        <f t="shared" si="89"/>
        <v/>
      </c>
      <c r="M323" s="80">
        <f t="shared" si="90"/>
        <v>310</v>
      </c>
      <c r="N323" s="80"/>
      <c r="O323" s="229" t="str">
        <f t="shared" si="91"/>
        <v/>
      </c>
      <c r="P323" s="229" t="str">
        <f t="shared" si="92"/>
        <v/>
      </c>
      <c r="Q323" s="229" t="str">
        <f t="shared" si="93"/>
        <v/>
      </c>
      <c r="R323" s="97" t="str">
        <f t="shared" si="94"/>
        <v/>
      </c>
      <c r="S323" s="80">
        <f t="shared" si="95"/>
        <v>310</v>
      </c>
      <c r="T323" s="80"/>
      <c r="U323" s="229" t="str">
        <f t="shared" si="96"/>
        <v/>
      </c>
      <c r="V323" s="229" t="str">
        <f t="shared" si="97"/>
        <v/>
      </c>
      <c r="W323" s="229" t="str">
        <f t="shared" si="98"/>
        <v/>
      </c>
      <c r="X323" s="97" t="str">
        <f t="shared" si="99"/>
        <v/>
      </c>
    </row>
    <row r="324" spans="1:24" x14ac:dyDescent="0.2">
      <c r="A324" s="80">
        <f t="shared" si="80"/>
        <v>311</v>
      </c>
      <c r="B324" s="80"/>
      <c r="C324" s="229" t="str">
        <f t="shared" si="81"/>
        <v/>
      </c>
      <c r="D324" s="229" t="str">
        <f t="shared" si="82"/>
        <v/>
      </c>
      <c r="E324" s="229" t="str">
        <f t="shared" si="83"/>
        <v/>
      </c>
      <c r="F324" s="97" t="str">
        <f t="shared" si="84"/>
        <v/>
      </c>
      <c r="G324" s="80">
        <f t="shared" si="85"/>
        <v>311</v>
      </c>
      <c r="H324" s="80"/>
      <c r="I324" s="229" t="str">
        <f t="shared" si="86"/>
        <v/>
      </c>
      <c r="J324" s="229" t="str">
        <f t="shared" si="87"/>
        <v/>
      </c>
      <c r="K324" s="229" t="str">
        <f t="shared" si="88"/>
        <v/>
      </c>
      <c r="L324" s="97" t="str">
        <f t="shared" si="89"/>
        <v/>
      </c>
      <c r="M324" s="80">
        <f t="shared" si="90"/>
        <v>311</v>
      </c>
      <c r="N324" s="80"/>
      <c r="O324" s="229" t="str">
        <f t="shared" si="91"/>
        <v/>
      </c>
      <c r="P324" s="229" t="str">
        <f t="shared" si="92"/>
        <v/>
      </c>
      <c r="Q324" s="229" t="str">
        <f t="shared" si="93"/>
        <v/>
      </c>
      <c r="R324" s="97" t="str">
        <f t="shared" si="94"/>
        <v/>
      </c>
      <c r="S324" s="80">
        <f t="shared" si="95"/>
        <v>311</v>
      </c>
      <c r="T324" s="80"/>
      <c r="U324" s="229" t="str">
        <f t="shared" si="96"/>
        <v/>
      </c>
      <c r="V324" s="229" t="str">
        <f t="shared" si="97"/>
        <v/>
      </c>
      <c r="W324" s="229" t="str">
        <f t="shared" si="98"/>
        <v/>
      </c>
      <c r="X324" s="97" t="str">
        <f t="shared" si="99"/>
        <v/>
      </c>
    </row>
    <row r="325" spans="1:24" x14ac:dyDescent="0.2">
      <c r="A325" s="80">
        <f t="shared" si="80"/>
        <v>312</v>
      </c>
      <c r="B325" s="80"/>
      <c r="C325" s="229" t="str">
        <f t="shared" si="81"/>
        <v/>
      </c>
      <c r="D325" s="229" t="str">
        <f t="shared" si="82"/>
        <v/>
      </c>
      <c r="E325" s="229" t="str">
        <f t="shared" si="83"/>
        <v/>
      </c>
      <c r="F325" s="97" t="str">
        <f t="shared" si="84"/>
        <v/>
      </c>
      <c r="G325" s="80">
        <f t="shared" si="85"/>
        <v>312</v>
      </c>
      <c r="H325" s="80"/>
      <c r="I325" s="229" t="str">
        <f t="shared" si="86"/>
        <v/>
      </c>
      <c r="J325" s="229" t="str">
        <f t="shared" si="87"/>
        <v/>
      </c>
      <c r="K325" s="229" t="str">
        <f t="shared" si="88"/>
        <v/>
      </c>
      <c r="L325" s="97" t="str">
        <f t="shared" si="89"/>
        <v/>
      </c>
      <c r="M325" s="80">
        <f t="shared" si="90"/>
        <v>312</v>
      </c>
      <c r="N325" s="80"/>
      <c r="O325" s="229" t="str">
        <f t="shared" si="91"/>
        <v/>
      </c>
      <c r="P325" s="229" t="str">
        <f t="shared" si="92"/>
        <v/>
      </c>
      <c r="Q325" s="229" t="str">
        <f t="shared" si="93"/>
        <v/>
      </c>
      <c r="R325" s="97" t="str">
        <f t="shared" si="94"/>
        <v/>
      </c>
      <c r="S325" s="80">
        <f t="shared" si="95"/>
        <v>312</v>
      </c>
      <c r="T325" s="80"/>
      <c r="U325" s="229" t="str">
        <f t="shared" si="96"/>
        <v/>
      </c>
      <c r="V325" s="229" t="str">
        <f t="shared" si="97"/>
        <v/>
      </c>
      <c r="W325" s="229" t="str">
        <f t="shared" si="98"/>
        <v/>
      </c>
      <c r="X325" s="97" t="str">
        <f t="shared" si="99"/>
        <v/>
      </c>
    </row>
    <row r="326" spans="1:24" x14ac:dyDescent="0.2">
      <c r="A326" s="80">
        <f t="shared" si="80"/>
        <v>313</v>
      </c>
      <c r="B326" s="80"/>
      <c r="C326" s="229" t="str">
        <f t="shared" si="81"/>
        <v/>
      </c>
      <c r="D326" s="229" t="str">
        <f t="shared" si="82"/>
        <v/>
      </c>
      <c r="E326" s="229" t="str">
        <f t="shared" si="83"/>
        <v/>
      </c>
      <c r="F326" s="97" t="str">
        <f t="shared" si="84"/>
        <v/>
      </c>
      <c r="G326" s="80">
        <f t="shared" si="85"/>
        <v>313</v>
      </c>
      <c r="H326" s="80"/>
      <c r="I326" s="229" t="str">
        <f t="shared" si="86"/>
        <v/>
      </c>
      <c r="J326" s="229" t="str">
        <f t="shared" si="87"/>
        <v/>
      </c>
      <c r="K326" s="229" t="str">
        <f t="shared" si="88"/>
        <v/>
      </c>
      <c r="L326" s="97" t="str">
        <f t="shared" si="89"/>
        <v/>
      </c>
      <c r="M326" s="80">
        <f t="shared" si="90"/>
        <v>313</v>
      </c>
      <c r="N326" s="80"/>
      <c r="O326" s="229" t="str">
        <f t="shared" si="91"/>
        <v/>
      </c>
      <c r="P326" s="229" t="str">
        <f t="shared" si="92"/>
        <v/>
      </c>
      <c r="Q326" s="229" t="str">
        <f t="shared" si="93"/>
        <v/>
      </c>
      <c r="R326" s="97" t="str">
        <f t="shared" si="94"/>
        <v/>
      </c>
      <c r="S326" s="80">
        <f t="shared" si="95"/>
        <v>313</v>
      </c>
      <c r="T326" s="80"/>
      <c r="U326" s="229" t="str">
        <f t="shared" si="96"/>
        <v/>
      </c>
      <c r="V326" s="229" t="str">
        <f t="shared" si="97"/>
        <v/>
      </c>
      <c r="W326" s="229" t="str">
        <f t="shared" si="98"/>
        <v/>
      </c>
      <c r="X326" s="97" t="str">
        <f t="shared" si="99"/>
        <v/>
      </c>
    </row>
    <row r="327" spans="1:24" x14ac:dyDescent="0.2">
      <c r="A327" s="80">
        <f t="shared" si="80"/>
        <v>314</v>
      </c>
      <c r="B327" s="80"/>
      <c r="C327" s="229" t="str">
        <f t="shared" si="81"/>
        <v/>
      </c>
      <c r="D327" s="229" t="str">
        <f t="shared" si="82"/>
        <v/>
      </c>
      <c r="E327" s="229" t="str">
        <f t="shared" si="83"/>
        <v/>
      </c>
      <c r="F327" s="97" t="str">
        <f t="shared" si="84"/>
        <v/>
      </c>
      <c r="G327" s="80">
        <f t="shared" si="85"/>
        <v>314</v>
      </c>
      <c r="H327" s="80"/>
      <c r="I327" s="229" t="str">
        <f t="shared" si="86"/>
        <v/>
      </c>
      <c r="J327" s="229" t="str">
        <f t="shared" si="87"/>
        <v/>
      </c>
      <c r="K327" s="229" t="str">
        <f t="shared" si="88"/>
        <v/>
      </c>
      <c r="L327" s="97" t="str">
        <f t="shared" si="89"/>
        <v/>
      </c>
      <c r="M327" s="80">
        <f t="shared" si="90"/>
        <v>314</v>
      </c>
      <c r="N327" s="80"/>
      <c r="O327" s="229" t="str">
        <f t="shared" si="91"/>
        <v/>
      </c>
      <c r="P327" s="229" t="str">
        <f t="shared" si="92"/>
        <v/>
      </c>
      <c r="Q327" s="229" t="str">
        <f t="shared" si="93"/>
        <v/>
      </c>
      <c r="R327" s="97" t="str">
        <f t="shared" si="94"/>
        <v/>
      </c>
      <c r="S327" s="80">
        <f t="shared" si="95"/>
        <v>314</v>
      </c>
      <c r="T327" s="80"/>
      <c r="U327" s="229" t="str">
        <f t="shared" si="96"/>
        <v/>
      </c>
      <c r="V327" s="229" t="str">
        <f t="shared" si="97"/>
        <v/>
      </c>
      <c r="W327" s="229" t="str">
        <f t="shared" si="98"/>
        <v/>
      </c>
      <c r="X327" s="97" t="str">
        <f t="shared" si="99"/>
        <v/>
      </c>
    </row>
    <row r="328" spans="1:24" x14ac:dyDescent="0.2">
      <c r="A328" s="80">
        <f t="shared" si="80"/>
        <v>315</v>
      </c>
      <c r="B328" s="80"/>
      <c r="C328" s="229" t="str">
        <f t="shared" si="81"/>
        <v/>
      </c>
      <c r="D328" s="229" t="str">
        <f t="shared" si="82"/>
        <v/>
      </c>
      <c r="E328" s="229" t="str">
        <f t="shared" si="83"/>
        <v/>
      </c>
      <c r="F328" s="97" t="str">
        <f t="shared" si="84"/>
        <v/>
      </c>
      <c r="G328" s="80">
        <f t="shared" si="85"/>
        <v>315</v>
      </c>
      <c r="H328" s="80"/>
      <c r="I328" s="229" t="str">
        <f t="shared" si="86"/>
        <v/>
      </c>
      <c r="J328" s="229" t="str">
        <f t="shared" si="87"/>
        <v/>
      </c>
      <c r="K328" s="229" t="str">
        <f t="shared" si="88"/>
        <v/>
      </c>
      <c r="L328" s="97" t="str">
        <f t="shared" si="89"/>
        <v/>
      </c>
      <c r="M328" s="80">
        <f t="shared" si="90"/>
        <v>315</v>
      </c>
      <c r="N328" s="80"/>
      <c r="O328" s="229" t="str">
        <f t="shared" si="91"/>
        <v/>
      </c>
      <c r="P328" s="229" t="str">
        <f t="shared" si="92"/>
        <v/>
      </c>
      <c r="Q328" s="229" t="str">
        <f t="shared" si="93"/>
        <v/>
      </c>
      <c r="R328" s="97" t="str">
        <f t="shared" si="94"/>
        <v/>
      </c>
      <c r="S328" s="80">
        <f t="shared" si="95"/>
        <v>315</v>
      </c>
      <c r="T328" s="80"/>
      <c r="U328" s="229" t="str">
        <f t="shared" si="96"/>
        <v/>
      </c>
      <c r="V328" s="229" t="str">
        <f t="shared" si="97"/>
        <v/>
      </c>
      <c r="W328" s="229" t="str">
        <f t="shared" si="98"/>
        <v/>
      </c>
      <c r="X328" s="97" t="str">
        <f t="shared" si="99"/>
        <v/>
      </c>
    </row>
    <row r="329" spans="1:24" x14ac:dyDescent="0.2">
      <c r="A329" s="80">
        <f t="shared" si="80"/>
        <v>316</v>
      </c>
      <c r="B329" s="80"/>
      <c r="C329" s="229" t="str">
        <f t="shared" si="81"/>
        <v/>
      </c>
      <c r="D329" s="229" t="str">
        <f t="shared" si="82"/>
        <v/>
      </c>
      <c r="E329" s="229" t="str">
        <f t="shared" si="83"/>
        <v/>
      </c>
      <c r="F329" s="97" t="str">
        <f t="shared" si="84"/>
        <v/>
      </c>
      <c r="G329" s="80">
        <f t="shared" si="85"/>
        <v>316</v>
      </c>
      <c r="H329" s="80"/>
      <c r="I329" s="229" t="str">
        <f t="shared" si="86"/>
        <v/>
      </c>
      <c r="J329" s="229" t="str">
        <f t="shared" si="87"/>
        <v/>
      </c>
      <c r="K329" s="229" t="str">
        <f t="shared" si="88"/>
        <v/>
      </c>
      <c r="L329" s="97" t="str">
        <f t="shared" si="89"/>
        <v/>
      </c>
      <c r="M329" s="80">
        <f t="shared" si="90"/>
        <v>316</v>
      </c>
      <c r="N329" s="80"/>
      <c r="O329" s="229" t="str">
        <f t="shared" si="91"/>
        <v/>
      </c>
      <c r="P329" s="229" t="str">
        <f t="shared" si="92"/>
        <v/>
      </c>
      <c r="Q329" s="229" t="str">
        <f t="shared" si="93"/>
        <v/>
      </c>
      <c r="R329" s="97" t="str">
        <f t="shared" si="94"/>
        <v/>
      </c>
      <c r="S329" s="80">
        <f t="shared" si="95"/>
        <v>316</v>
      </c>
      <c r="T329" s="80"/>
      <c r="U329" s="229" t="str">
        <f t="shared" si="96"/>
        <v/>
      </c>
      <c r="V329" s="229" t="str">
        <f t="shared" si="97"/>
        <v/>
      </c>
      <c r="W329" s="229" t="str">
        <f t="shared" si="98"/>
        <v/>
      </c>
      <c r="X329" s="97" t="str">
        <f t="shared" si="99"/>
        <v/>
      </c>
    </row>
    <row r="330" spans="1:24" x14ac:dyDescent="0.2">
      <c r="A330" s="80">
        <f t="shared" si="80"/>
        <v>317</v>
      </c>
      <c r="B330" s="80"/>
      <c r="C330" s="229" t="str">
        <f t="shared" si="81"/>
        <v/>
      </c>
      <c r="D330" s="229" t="str">
        <f t="shared" si="82"/>
        <v/>
      </c>
      <c r="E330" s="229" t="str">
        <f t="shared" si="83"/>
        <v/>
      </c>
      <c r="F330" s="97" t="str">
        <f t="shared" si="84"/>
        <v/>
      </c>
      <c r="G330" s="80">
        <f t="shared" si="85"/>
        <v>317</v>
      </c>
      <c r="H330" s="80"/>
      <c r="I330" s="229" t="str">
        <f t="shared" si="86"/>
        <v/>
      </c>
      <c r="J330" s="229" t="str">
        <f t="shared" si="87"/>
        <v/>
      </c>
      <c r="K330" s="229" t="str">
        <f t="shared" si="88"/>
        <v/>
      </c>
      <c r="L330" s="97" t="str">
        <f t="shared" si="89"/>
        <v/>
      </c>
      <c r="M330" s="80">
        <f t="shared" si="90"/>
        <v>317</v>
      </c>
      <c r="N330" s="80"/>
      <c r="O330" s="229" t="str">
        <f t="shared" si="91"/>
        <v/>
      </c>
      <c r="P330" s="229" t="str">
        <f t="shared" si="92"/>
        <v/>
      </c>
      <c r="Q330" s="229" t="str">
        <f t="shared" si="93"/>
        <v/>
      </c>
      <c r="R330" s="97" t="str">
        <f t="shared" si="94"/>
        <v/>
      </c>
      <c r="S330" s="80">
        <f t="shared" si="95"/>
        <v>317</v>
      </c>
      <c r="T330" s="80"/>
      <c r="U330" s="229" t="str">
        <f t="shared" si="96"/>
        <v/>
      </c>
      <c r="V330" s="229" t="str">
        <f t="shared" si="97"/>
        <v/>
      </c>
      <c r="W330" s="229" t="str">
        <f t="shared" si="98"/>
        <v/>
      </c>
      <c r="X330" s="97" t="str">
        <f t="shared" si="99"/>
        <v/>
      </c>
    </row>
    <row r="331" spans="1:24" x14ac:dyDescent="0.2">
      <c r="A331" s="80">
        <f t="shared" si="80"/>
        <v>318</v>
      </c>
      <c r="B331" s="80"/>
      <c r="C331" s="229" t="str">
        <f t="shared" si="81"/>
        <v/>
      </c>
      <c r="D331" s="229" t="str">
        <f t="shared" si="82"/>
        <v/>
      </c>
      <c r="E331" s="229" t="str">
        <f t="shared" si="83"/>
        <v/>
      </c>
      <c r="F331" s="97" t="str">
        <f t="shared" si="84"/>
        <v/>
      </c>
      <c r="G331" s="80">
        <f t="shared" si="85"/>
        <v>318</v>
      </c>
      <c r="H331" s="80"/>
      <c r="I331" s="229" t="str">
        <f t="shared" si="86"/>
        <v/>
      </c>
      <c r="J331" s="229" t="str">
        <f t="shared" si="87"/>
        <v/>
      </c>
      <c r="K331" s="229" t="str">
        <f t="shared" si="88"/>
        <v/>
      </c>
      <c r="L331" s="97" t="str">
        <f t="shared" si="89"/>
        <v/>
      </c>
      <c r="M331" s="80">
        <f t="shared" si="90"/>
        <v>318</v>
      </c>
      <c r="N331" s="80"/>
      <c r="O331" s="229" t="str">
        <f t="shared" si="91"/>
        <v/>
      </c>
      <c r="P331" s="229" t="str">
        <f t="shared" si="92"/>
        <v/>
      </c>
      <c r="Q331" s="229" t="str">
        <f t="shared" si="93"/>
        <v/>
      </c>
      <c r="R331" s="97" t="str">
        <f t="shared" si="94"/>
        <v/>
      </c>
      <c r="S331" s="80">
        <f t="shared" si="95"/>
        <v>318</v>
      </c>
      <c r="T331" s="80"/>
      <c r="U331" s="229" t="str">
        <f t="shared" si="96"/>
        <v/>
      </c>
      <c r="V331" s="229" t="str">
        <f t="shared" si="97"/>
        <v/>
      </c>
      <c r="W331" s="229" t="str">
        <f t="shared" si="98"/>
        <v/>
      </c>
      <c r="X331" s="97" t="str">
        <f t="shared" si="99"/>
        <v/>
      </c>
    </row>
    <row r="332" spans="1:24" x14ac:dyDescent="0.2">
      <c r="A332" s="80">
        <f t="shared" si="80"/>
        <v>319</v>
      </c>
      <c r="B332" s="80"/>
      <c r="C332" s="229" t="str">
        <f t="shared" si="81"/>
        <v/>
      </c>
      <c r="D332" s="229" t="str">
        <f t="shared" si="82"/>
        <v/>
      </c>
      <c r="E332" s="229" t="str">
        <f t="shared" si="83"/>
        <v/>
      </c>
      <c r="F332" s="97" t="str">
        <f t="shared" si="84"/>
        <v/>
      </c>
      <c r="G332" s="80">
        <f t="shared" si="85"/>
        <v>319</v>
      </c>
      <c r="H332" s="80"/>
      <c r="I332" s="229" t="str">
        <f t="shared" si="86"/>
        <v/>
      </c>
      <c r="J332" s="229" t="str">
        <f t="shared" si="87"/>
        <v/>
      </c>
      <c r="K332" s="229" t="str">
        <f t="shared" si="88"/>
        <v/>
      </c>
      <c r="L332" s="97" t="str">
        <f t="shared" si="89"/>
        <v/>
      </c>
      <c r="M332" s="80">
        <f t="shared" si="90"/>
        <v>319</v>
      </c>
      <c r="N332" s="80"/>
      <c r="O332" s="229" t="str">
        <f t="shared" si="91"/>
        <v/>
      </c>
      <c r="P332" s="229" t="str">
        <f t="shared" si="92"/>
        <v/>
      </c>
      <c r="Q332" s="229" t="str">
        <f t="shared" si="93"/>
        <v/>
      </c>
      <c r="R332" s="97" t="str">
        <f t="shared" si="94"/>
        <v/>
      </c>
      <c r="S332" s="80">
        <f t="shared" si="95"/>
        <v>319</v>
      </c>
      <c r="T332" s="80"/>
      <c r="U332" s="229" t="str">
        <f t="shared" si="96"/>
        <v/>
      </c>
      <c r="V332" s="229" t="str">
        <f t="shared" si="97"/>
        <v/>
      </c>
      <c r="W332" s="229" t="str">
        <f t="shared" si="98"/>
        <v/>
      </c>
      <c r="X332" s="97" t="str">
        <f t="shared" si="99"/>
        <v/>
      </c>
    </row>
    <row r="333" spans="1:24" x14ac:dyDescent="0.2">
      <c r="A333" s="80">
        <f t="shared" si="80"/>
        <v>320</v>
      </c>
      <c r="B333" s="80"/>
      <c r="C333" s="229" t="str">
        <f t="shared" si="81"/>
        <v/>
      </c>
      <c r="D333" s="229" t="str">
        <f t="shared" si="82"/>
        <v/>
      </c>
      <c r="E333" s="229" t="str">
        <f t="shared" si="83"/>
        <v/>
      </c>
      <c r="F333" s="97" t="str">
        <f t="shared" si="84"/>
        <v/>
      </c>
      <c r="G333" s="80">
        <f t="shared" si="85"/>
        <v>320</v>
      </c>
      <c r="H333" s="80"/>
      <c r="I333" s="229" t="str">
        <f t="shared" si="86"/>
        <v/>
      </c>
      <c r="J333" s="229" t="str">
        <f t="shared" si="87"/>
        <v/>
      </c>
      <c r="K333" s="229" t="str">
        <f t="shared" si="88"/>
        <v/>
      </c>
      <c r="L333" s="97" t="str">
        <f t="shared" si="89"/>
        <v/>
      </c>
      <c r="M333" s="80">
        <f t="shared" si="90"/>
        <v>320</v>
      </c>
      <c r="N333" s="80"/>
      <c r="O333" s="229" t="str">
        <f t="shared" si="91"/>
        <v/>
      </c>
      <c r="P333" s="229" t="str">
        <f t="shared" si="92"/>
        <v/>
      </c>
      <c r="Q333" s="229" t="str">
        <f t="shared" si="93"/>
        <v/>
      </c>
      <c r="R333" s="97" t="str">
        <f t="shared" si="94"/>
        <v/>
      </c>
      <c r="S333" s="80">
        <f t="shared" si="95"/>
        <v>320</v>
      </c>
      <c r="T333" s="80"/>
      <c r="U333" s="229" t="str">
        <f t="shared" si="96"/>
        <v/>
      </c>
      <c r="V333" s="229" t="str">
        <f t="shared" si="97"/>
        <v/>
      </c>
      <c r="W333" s="229" t="str">
        <f t="shared" si="98"/>
        <v/>
      </c>
      <c r="X333" s="97" t="str">
        <f t="shared" si="99"/>
        <v/>
      </c>
    </row>
    <row r="334" spans="1:24" x14ac:dyDescent="0.2">
      <c r="A334" s="80">
        <f t="shared" si="80"/>
        <v>321</v>
      </c>
      <c r="B334" s="80"/>
      <c r="C334" s="229" t="str">
        <f t="shared" si="81"/>
        <v/>
      </c>
      <c r="D334" s="229" t="str">
        <f t="shared" si="82"/>
        <v/>
      </c>
      <c r="E334" s="229" t="str">
        <f t="shared" si="83"/>
        <v/>
      </c>
      <c r="F334" s="97" t="str">
        <f t="shared" si="84"/>
        <v/>
      </c>
      <c r="G334" s="80">
        <f t="shared" si="85"/>
        <v>321</v>
      </c>
      <c r="H334" s="80"/>
      <c r="I334" s="229" t="str">
        <f t="shared" si="86"/>
        <v/>
      </c>
      <c r="J334" s="229" t="str">
        <f t="shared" si="87"/>
        <v/>
      </c>
      <c r="K334" s="229" t="str">
        <f t="shared" si="88"/>
        <v/>
      </c>
      <c r="L334" s="97" t="str">
        <f t="shared" si="89"/>
        <v/>
      </c>
      <c r="M334" s="80">
        <f t="shared" si="90"/>
        <v>321</v>
      </c>
      <c r="N334" s="80"/>
      <c r="O334" s="229" t="str">
        <f t="shared" si="91"/>
        <v/>
      </c>
      <c r="P334" s="229" t="str">
        <f t="shared" si="92"/>
        <v/>
      </c>
      <c r="Q334" s="229" t="str">
        <f t="shared" si="93"/>
        <v/>
      </c>
      <c r="R334" s="97" t="str">
        <f t="shared" si="94"/>
        <v/>
      </c>
      <c r="S334" s="80">
        <f t="shared" si="95"/>
        <v>321</v>
      </c>
      <c r="T334" s="80"/>
      <c r="U334" s="229" t="str">
        <f t="shared" si="96"/>
        <v/>
      </c>
      <c r="V334" s="229" t="str">
        <f t="shared" si="97"/>
        <v/>
      </c>
      <c r="W334" s="229" t="str">
        <f t="shared" si="98"/>
        <v/>
      </c>
      <c r="X334" s="97" t="str">
        <f t="shared" si="99"/>
        <v/>
      </c>
    </row>
    <row r="335" spans="1:24" x14ac:dyDescent="0.2">
      <c r="A335" s="80">
        <f t="shared" ref="A335:A373" si="100">IF(A334&lt;D$8*12,A334+1,"")</f>
        <v>322</v>
      </c>
      <c r="B335" s="80"/>
      <c r="C335" s="229" t="str">
        <f t="shared" ref="C335:C373" si="101">IF(F334=0,"",IF($A335&lt;=D$8*12,C334,""))</f>
        <v/>
      </c>
      <c r="D335" s="229" t="str">
        <f t="shared" ref="D335:D373" si="102">IF(C335="","",C335-E335)</f>
        <v/>
      </c>
      <c r="E335" s="229" t="str">
        <f t="shared" ref="E335:E373" si="103">IF(C335="","",F334*D$7/12)</f>
        <v/>
      </c>
      <c r="F335" s="97" t="str">
        <f t="shared" ref="F335:F373" si="104">IF(D$6=0,"",IF($A335&gt;D$8*12,"",D$6+CUMPRINC(D$7/12,D$8*12,D$6,1,$A335,0)))</f>
        <v/>
      </c>
      <c r="G335" s="80">
        <f t="shared" ref="G335:G373" si="105">IF(G334&lt;J$8*12,G334+1,"")</f>
        <v>322</v>
      </c>
      <c r="H335" s="80"/>
      <c r="I335" s="229" t="str">
        <f t="shared" ref="I335:I373" si="106">IF(L334=0,"",IF($A335&lt;=J$8*12,I334,""))</f>
        <v/>
      </c>
      <c r="J335" s="229" t="str">
        <f t="shared" ref="J335:J373" si="107">IF(I335="","",I335-K335)</f>
        <v/>
      </c>
      <c r="K335" s="229" t="str">
        <f t="shared" ref="K335:K373" si="108">IF(I335="","",L334*J$7/12)</f>
        <v/>
      </c>
      <c r="L335" s="97" t="str">
        <f t="shared" ref="L335:L373" si="109">IF(J$6=0,"",IF($A335&gt;J$8*12,"",J$6+CUMPRINC(J$7/12,J$8*12,J$6,1,$A335,0)))</f>
        <v/>
      </c>
      <c r="M335" s="80">
        <f t="shared" ref="M335:M373" si="110">IF(M334&lt;P$8*12,M334+1,"")</f>
        <v>322</v>
      </c>
      <c r="N335" s="80"/>
      <c r="O335" s="229" t="str">
        <f t="shared" ref="O335:O373" si="111">IF(R334=0,"",IF($A335&lt;=P$8*12,O334,""))</f>
        <v/>
      </c>
      <c r="P335" s="229" t="str">
        <f t="shared" ref="P335:P373" si="112">IF(O335="","",O335-Q335)</f>
        <v/>
      </c>
      <c r="Q335" s="229" t="str">
        <f t="shared" ref="Q335:Q373" si="113">IF(O335="","",R334*P$7/12)</f>
        <v/>
      </c>
      <c r="R335" s="97" t="str">
        <f t="shared" ref="R335:R373" si="114">IF(P$6=0,"",IF($A335&gt;P$8*12,"",P$6+CUMPRINC(P$7/12,P$8*12,P$6,1,$A335,0)))</f>
        <v/>
      </c>
      <c r="S335" s="80">
        <f t="shared" ref="S335:S373" si="115">IF(S334&lt;V$8*12,S334+1,"")</f>
        <v>322</v>
      </c>
      <c r="T335" s="80"/>
      <c r="U335" s="229" t="str">
        <f t="shared" ref="U335:U373" si="116">IF(X334=0,"",IF($A335&lt;=V$8*12,U334,""))</f>
        <v/>
      </c>
      <c r="V335" s="229" t="str">
        <f t="shared" ref="V335:V373" si="117">IF(U335="","",U335-W335)</f>
        <v/>
      </c>
      <c r="W335" s="229" t="str">
        <f t="shared" ref="W335:W373" si="118">IF(U335="","",X334*V$7/12)</f>
        <v/>
      </c>
      <c r="X335" s="97" t="str">
        <f t="shared" ref="X335:X373" si="119">IF(V$6=0,"",IF($A335&gt;V$8*12,"",V$6+CUMPRINC(V$7/12,V$8*12,V$6,1,$A335,0)))</f>
        <v/>
      </c>
    </row>
    <row r="336" spans="1:24" x14ac:dyDescent="0.2">
      <c r="A336" s="80">
        <f t="shared" si="100"/>
        <v>323</v>
      </c>
      <c r="B336" s="80"/>
      <c r="C336" s="229" t="str">
        <f t="shared" si="101"/>
        <v/>
      </c>
      <c r="D336" s="229" t="str">
        <f t="shared" si="102"/>
        <v/>
      </c>
      <c r="E336" s="229" t="str">
        <f t="shared" si="103"/>
        <v/>
      </c>
      <c r="F336" s="97" t="str">
        <f t="shared" si="104"/>
        <v/>
      </c>
      <c r="G336" s="80">
        <f t="shared" si="105"/>
        <v>323</v>
      </c>
      <c r="H336" s="80"/>
      <c r="I336" s="229" t="str">
        <f t="shared" si="106"/>
        <v/>
      </c>
      <c r="J336" s="229" t="str">
        <f t="shared" si="107"/>
        <v/>
      </c>
      <c r="K336" s="229" t="str">
        <f t="shared" si="108"/>
        <v/>
      </c>
      <c r="L336" s="97" t="str">
        <f t="shared" si="109"/>
        <v/>
      </c>
      <c r="M336" s="80">
        <f t="shared" si="110"/>
        <v>323</v>
      </c>
      <c r="N336" s="80"/>
      <c r="O336" s="229" t="str">
        <f t="shared" si="111"/>
        <v/>
      </c>
      <c r="P336" s="229" t="str">
        <f t="shared" si="112"/>
        <v/>
      </c>
      <c r="Q336" s="229" t="str">
        <f t="shared" si="113"/>
        <v/>
      </c>
      <c r="R336" s="97" t="str">
        <f t="shared" si="114"/>
        <v/>
      </c>
      <c r="S336" s="80">
        <f t="shared" si="115"/>
        <v>323</v>
      </c>
      <c r="T336" s="80"/>
      <c r="U336" s="229" t="str">
        <f t="shared" si="116"/>
        <v/>
      </c>
      <c r="V336" s="229" t="str">
        <f t="shared" si="117"/>
        <v/>
      </c>
      <c r="W336" s="229" t="str">
        <f t="shared" si="118"/>
        <v/>
      </c>
      <c r="X336" s="97" t="str">
        <f t="shared" si="119"/>
        <v/>
      </c>
    </row>
    <row r="337" spans="1:24" x14ac:dyDescent="0.2">
      <c r="A337" s="80">
        <f t="shared" si="100"/>
        <v>324</v>
      </c>
      <c r="B337" s="80"/>
      <c r="C337" s="229" t="str">
        <f t="shared" si="101"/>
        <v/>
      </c>
      <c r="D337" s="229" t="str">
        <f t="shared" si="102"/>
        <v/>
      </c>
      <c r="E337" s="229" t="str">
        <f t="shared" si="103"/>
        <v/>
      </c>
      <c r="F337" s="97" t="str">
        <f t="shared" si="104"/>
        <v/>
      </c>
      <c r="G337" s="80">
        <f t="shared" si="105"/>
        <v>324</v>
      </c>
      <c r="H337" s="80"/>
      <c r="I337" s="229" t="str">
        <f t="shared" si="106"/>
        <v/>
      </c>
      <c r="J337" s="229" t="str">
        <f t="shared" si="107"/>
        <v/>
      </c>
      <c r="K337" s="229" t="str">
        <f t="shared" si="108"/>
        <v/>
      </c>
      <c r="L337" s="97" t="str">
        <f t="shared" si="109"/>
        <v/>
      </c>
      <c r="M337" s="80">
        <f t="shared" si="110"/>
        <v>324</v>
      </c>
      <c r="N337" s="80"/>
      <c r="O337" s="229" t="str">
        <f t="shared" si="111"/>
        <v/>
      </c>
      <c r="P337" s="229" t="str">
        <f t="shared" si="112"/>
        <v/>
      </c>
      <c r="Q337" s="229" t="str">
        <f t="shared" si="113"/>
        <v/>
      </c>
      <c r="R337" s="97" t="str">
        <f t="shared" si="114"/>
        <v/>
      </c>
      <c r="S337" s="80">
        <f t="shared" si="115"/>
        <v>324</v>
      </c>
      <c r="T337" s="80"/>
      <c r="U337" s="229" t="str">
        <f t="shared" si="116"/>
        <v/>
      </c>
      <c r="V337" s="229" t="str">
        <f t="shared" si="117"/>
        <v/>
      </c>
      <c r="W337" s="229" t="str">
        <f t="shared" si="118"/>
        <v/>
      </c>
      <c r="X337" s="97" t="str">
        <f t="shared" si="119"/>
        <v/>
      </c>
    </row>
    <row r="338" spans="1:24" x14ac:dyDescent="0.2">
      <c r="A338" s="80">
        <f t="shared" si="100"/>
        <v>325</v>
      </c>
      <c r="B338" s="80"/>
      <c r="C338" s="229" t="str">
        <f t="shared" si="101"/>
        <v/>
      </c>
      <c r="D338" s="229" t="str">
        <f t="shared" si="102"/>
        <v/>
      </c>
      <c r="E338" s="229" t="str">
        <f t="shared" si="103"/>
        <v/>
      </c>
      <c r="F338" s="97" t="str">
        <f t="shared" si="104"/>
        <v/>
      </c>
      <c r="G338" s="80">
        <f t="shared" si="105"/>
        <v>325</v>
      </c>
      <c r="H338" s="80"/>
      <c r="I338" s="229" t="str">
        <f t="shared" si="106"/>
        <v/>
      </c>
      <c r="J338" s="229" t="str">
        <f t="shared" si="107"/>
        <v/>
      </c>
      <c r="K338" s="229" t="str">
        <f t="shared" si="108"/>
        <v/>
      </c>
      <c r="L338" s="97" t="str">
        <f t="shared" si="109"/>
        <v/>
      </c>
      <c r="M338" s="80">
        <f t="shared" si="110"/>
        <v>325</v>
      </c>
      <c r="N338" s="80"/>
      <c r="O338" s="229" t="str">
        <f t="shared" si="111"/>
        <v/>
      </c>
      <c r="P338" s="229" t="str">
        <f t="shared" si="112"/>
        <v/>
      </c>
      <c r="Q338" s="229" t="str">
        <f t="shared" si="113"/>
        <v/>
      </c>
      <c r="R338" s="97" t="str">
        <f t="shared" si="114"/>
        <v/>
      </c>
      <c r="S338" s="80">
        <f t="shared" si="115"/>
        <v>325</v>
      </c>
      <c r="T338" s="80"/>
      <c r="U338" s="229" t="str">
        <f t="shared" si="116"/>
        <v/>
      </c>
      <c r="V338" s="229" t="str">
        <f t="shared" si="117"/>
        <v/>
      </c>
      <c r="W338" s="229" t="str">
        <f t="shared" si="118"/>
        <v/>
      </c>
      <c r="X338" s="97" t="str">
        <f t="shared" si="119"/>
        <v/>
      </c>
    </row>
    <row r="339" spans="1:24" x14ac:dyDescent="0.2">
      <c r="A339" s="80">
        <f t="shared" si="100"/>
        <v>326</v>
      </c>
      <c r="B339" s="80"/>
      <c r="C339" s="229" t="str">
        <f t="shared" si="101"/>
        <v/>
      </c>
      <c r="D339" s="229" t="str">
        <f t="shared" si="102"/>
        <v/>
      </c>
      <c r="E339" s="229" t="str">
        <f t="shared" si="103"/>
        <v/>
      </c>
      <c r="F339" s="97" t="str">
        <f t="shared" si="104"/>
        <v/>
      </c>
      <c r="G339" s="80">
        <f t="shared" si="105"/>
        <v>326</v>
      </c>
      <c r="H339" s="80"/>
      <c r="I339" s="229" t="str">
        <f t="shared" si="106"/>
        <v/>
      </c>
      <c r="J339" s="229" t="str">
        <f t="shared" si="107"/>
        <v/>
      </c>
      <c r="K339" s="229" t="str">
        <f t="shared" si="108"/>
        <v/>
      </c>
      <c r="L339" s="97" t="str">
        <f t="shared" si="109"/>
        <v/>
      </c>
      <c r="M339" s="80">
        <f t="shared" si="110"/>
        <v>326</v>
      </c>
      <c r="N339" s="80"/>
      <c r="O339" s="229" t="str">
        <f t="shared" si="111"/>
        <v/>
      </c>
      <c r="P339" s="229" t="str">
        <f t="shared" si="112"/>
        <v/>
      </c>
      <c r="Q339" s="229" t="str">
        <f t="shared" si="113"/>
        <v/>
      </c>
      <c r="R339" s="97" t="str">
        <f t="shared" si="114"/>
        <v/>
      </c>
      <c r="S339" s="80">
        <f t="shared" si="115"/>
        <v>326</v>
      </c>
      <c r="T339" s="80"/>
      <c r="U339" s="229" t="str">
        <f t="shared" si="116"/>
        <v/>
      </c>
      <c r="V339" s="229" t="str">
        <f t="shared" si="117"/>
        <v/>
      </c>
      <c r="W339" s="229" t="str">
        <f t="shared" si="118"/>
        <v/>
      </c>
      <c r="X339" s="97" t="str">
        <f t="shared" si="119"/>
        <v/>
      </c>
    </row>
    <row r="340" spans="1:24" x14ac:dyDescent="0.2">
      <c r="A340" s="80">
        <f t="shared" si="100"/>
        <v>327</v>
      </c>
      <c r="B340" s="80"/>
      <c r="C340" s="229" t="str">
        <f t="shared" si="101"/>
        <v/>
      </c>
      <c r="D340" s="229" t="str">
        <f t="shared" si="102"/>
        <v/>
      </c>
      <c r="E340" s="229" t="str">
        <f t="shared" si="103"/>
        <v/>
      </c>
      <c r="F340" s="97" t="str">
        <f t="shared" si="104"/>
        <v/>
      </c>
      <c r="G340" s="80">
        <f t="shared" si="105"/>
        <v>327</v>
      </c>
      <c r="H340" s="80"/>
      <c r="I340" s="229" t="str">
        <f t="shared" si="106"/>
        <v/>
      </c>
      <c r="J340" s="229" t="str">
        <f t="shared" si="107"/>
        <v/>
      </c>
      <c r="K340" s="229" t="str">
        <f t="shared" si="108"/>
        <v/>
      </c>
      <c r="L340" s="97" t="str">
        <f t="shared" si="109"/>
        <v/>
      </c>
      <c r="M340" s="80">
        <f t="shared" si="110"/>
        <v>327</v>
      </c>
      <c r="N340" s="80"/>
      <c r="O340" s="229" t="str">
        <f t="shared" si="111"/>
        <v/>
      </c>
      <c r="P340" s="229" t="str">
        <f t="shared" si="112"/>
        <v/>
      </c>
      <c r="Q340" s="229" t="str">
        <f t="shared" si="113"/>
        <v/>
      </c>
      <c r="R340" s="97" t="str">
        <f t="shared" si="114"/>
        <v/>
      </c>
      <c r="S340" s="80">
        <f t="shared" si="115"/>
        <v>327</v>
      </c>
      <c r="T340" s="80"/>
      <c r="U340" s="229" t="str">
        <f t="shared" si="116"/>
        <v/>
      </c>
      <c r="V340" s="229" t="str">
        <f t="shared" si="117"/>
        <v/>
      </c>
      <c r="W340" s="229" t="str">
        <f t="shared" si="118"/>
        <v/>
      </c>
      <c r="X340" s="97" t="str">
        <f t="shared" si="119"/>
        <v/>
      </c>
    </row>
    <row r="341" spans="1:24" x14ac:dyDescent="0.2">
      <c r="A341" s="80">
        <f t="shared" si="100"/>
        <v>328</v>
      </c>
      <c r="B341" s="80"/>
      <c r="C341" s="229" t="str">
        <f t="shared" si="101"/>
        <v/>
      </c>
      <c r="D341" s="229" t="str">
        <f t="shared" si="102"/>
        <v/>
      </c>
      <c r="E341" s="229" t="str">
        <f t="shared" si="103"/>
        <v/>
      </c>
      <c r="F341" s="97" t="str">
        <f t="shared" si="104"/>
        <v/>
      </c>
      <c r="G341" s="80">
        <f t="shared" si="105"/>
        <v>328</v>
      </c>
      <c r="H341" s="80"/>
      <c r="I341" s="229" t="str">
        <f t="shared" si="106"/>
        <v/>
      </c>
      <c r="J341" s="229" t="str">
        <f t="shared" si="107"/>
        <v/>
      </c>
      <c r="K341" s="229" t="str">
        <f t="shared" si="108"/>
        <v/>
      </c>
      <c r="L341" s="97" t="str">
        <f t="shared" si="109"/>
        <v/>
      </c>
      <c r="M341" s="80">
        <f t="shared" si="110"/>
        <v>328</v>
      </c>
      <c r="N341" s="80"/>
      <c r="O341" s="229" t="str">
        <f t="shared" si="111"/>
        <v/>
      </c>
      <c r="P341" s="229" t="str">
        <f t="shared" si="112"/>
        <v/>
      </c>
      <c r="Q341" s="229" t="str">
        <f t="shared" si="113"/>
        <v/>
      </c>
      <c r="R341" s="97" t="str">
        <f t="shared" si="114"/>
        <v/>
      </c>
      <c r="S341" s="80">
        <f t="shared" si="115"/>
        <v>328</v>
      </c>
      <c r="T341" s="80"/>
      <c r="U341" s="229" t="str">
        <f t="shared" si="116"/>
        <v/>
      </c>
      <c r="V341" s="229" t="str">
        <f t="shared" si="117"/>
        <v/>
      </c>
      <c r="W341" s="229" t="str">
        <f t="shared" si="118"/>
        <v/>
      </c>
      <c r="X341" s="97" t="str">
        <f t="shared" si="119"/>
        <v/>
      </c>
    </row>
    <row r="342" spans="1:24" x14ac:dyDescent="0.2">
      <c r="A342" s="80">
        <f t="shared" si="100"/>
        <v>329</v>
      </c>
      <c r="B342" s="80"/>
      <c r="C342" s="229" t="str">
        <f t="shared" si="101"/>
        <v/>
      </c>
      <c r="D342" s="229" t="str">
        <f t="shared" si="102"/>
        <v/>
      </c>
      <c r="E342" s="229" t="str">
        <f t="shared" si="103"/>
        <v/>
      </c>
      <c r="F342" s="97" t="str">
        <f t="shared" si="104"/>
        <v/>
      </c>
      <c r="G342" s="80">
        <f t="shared" si="105"/>
        <v>329</v>
      </c>
      <c r="H342" s="80"/>
      <c r="I342" s="229" t="str">
        <f t="shared" si="106"/>
        <v/>
      </c>
      <c r="J342" s="229" t="str">
        <f t="shared" si="107"/>
        <v/>
      </c>
      <c r="K342" s="229" t="str">
        <f t="shared" si="108"/>
        <v/>
      </c>
      <c r="L342" s="97" t="str">
        <f t="shared" si="109"/>
        <v/>
      </c>
      <c r="M342" s="80">
        <f t="shared" si="110"/>
        <v>329</v>
      </c>
      <c r="N342" s="80"/>
      <c r="O342" s="229" t="str">
        <f t="shared" si="111"/>
        <v/>
      </c>
      <c r="P342" s="229" t="str">
        <f t="shared" si="112"/>
        <v/>
      </c>
      <c r="Q342" s="229" t="str">
        <f t="shared" si="113"/>
        <v/>
      </c>
      <c r="R342" s="97" t="str">
        <f t="shared" si="114"/>
        <v/>
      </c>
      <c r="S342" s="80">
        <f t="shared" si="115"/>
        <v>329</v>
      </c>
      <c r="T342" s="80"/>
      <c r="U342" s="229" t="str">
        <f t="shared" si="116"/>
        <v/>
      </c>
      <c r="V342" s="229" t="str">
        <f t="shared" si="117"/>
        <v/>
      </c>
      <c r="W342" s="229" t="str">
        <f t="shared" si="118"/>
        <v/>
      </c>
      <c r="X342" s="97" t="str">
        <f t="shared" si="119"/>
        <v/>
      </c>
    </row>
    <row r="343" spans="1:24" x14ac:dyDescent="0.2">
      <c r="A343" s="80">
        <f t="shared" si="100"/>
        <v>330</v>
      </c>
      <c r="B343" s="80"/>
      <c r="C343" s="229" t="str">
        <f t="shared" si="101"/>
        <v/>
      </c>
      <c r="D343" s="229" t="str">
        <f t="shared" si="102"/>
        <v/>
      </c>
      <c r="E343" s="229" t="str">
        <f t="shared" si="103"/>
        <v/>
      </c>
      <c r="F343" s="97" t="str">
        <f t="shared" si="104"/>
        <v/>
      </c>
      <c r="G343" s="80">
        <f t="shared" si="105"/>
        <v>330</v>
      </c>
      <c r="H343" s="80"/>
      <c r="I343" s="229" t="str">
        <f t="shared" si="106"/>
        <v/>
      </c>
      <c r="J343" s="229" t="str">
        <f t="shared" si="107"/>
        <v/>
      </c>
      <c r="K343" s="229" t="str">
        <f t="shared" si="108"/>
        <v/>
      </c>
      <c r="L343" s="97" t="str">
        <f t="shared" si="109"/>
        <v/>
      </c>
      <c r="M343" s="80">
        <f t="shared" si="110"/>
        <v>330</v>
      </c>
      <c r="N343" s="80"/>
      <c r="O343" s="229" t="str">
        <f t="shared" si="111"/>
        <v/>
      </c>
      <c r="P343" s="229" t="str">
        <f t="shared" si="112"/>
        <v/>
      </c>
      <c r="Q343" s="229" t="str">
        <f t="shared" si="113"/>
        <v/>
      </c>
      <c r="R343" s="97" t="str">
        <f t="shared" si="114"/>
        <v/>
      </c>
      <c r="S343" s="80">
        <f t="shared" si="115"/>
        <v>330</v>
      </c>
      <c r="T343" s="80"/>
      <c r="U343" s="229" t="str">
        <f t="shared" si="116"/>
        <v/>
      </c>
      <c r="V343" s="229" t="str">
        <f t="shared" si="117"/>
        <v/>
      </c>
      <c r="W343" s="229" t="str">
        <f t="shared" si="118"/>
        <v/>
      </c>
      <c r="X343" s="97" t="str">
        <f t="shared" si="119"/>
        <v/>
      </c>
    </row>
    <row r="344" spans="1:24" x14ac:dyDescent="0.2">
      <c r="A344" s="80">
        <f t="shared" si="100"/>
        <v>331</v>
      </c>
      <c r="B344" s="80"/>
      <c r="C344" s="229" t="str">
        <f t="shared" si="101"/>
        <v/>
      </c>
      <c r="D344" s="229" t="str">
        <f t="shared" si="102"/>
        <v/>
      </c>
      <c r="E344" s="229" t="str">
        <f t="shared" si="103"/>
        <v/>
      </c>
      <c r="F344" s="97" t="str">
        <f t="shared" si="104"/>
        <v/>
      </c>
      <c r="G344" s="80">
        <f t="shared" si="105"/>
        <v>331</v>
      </c>
      <c r="H344" s="80"/>
      <c r="I344" s="229" t="str">
        <f t="shared" si="106"/>
        <v/>
      </c>
      <c r="J344" s="229" t="str">
        <f t="shared" si="107"/>
        <v/>
      </c>
      <c r="K344" s="229" t="str">
        <f t="shared" si="108"/>
        <v/>
      </c>
      <c r="L344" s="97" t="str">
        <f t="shared" si="109"/>
        <v/>
      </c>
      <c r="M344" s="80">
        <f t="shared" si="110"/>
        <v>331</v>
      </c>
      <c r="N344" s="80"/>
      <c r="O344" s="229" t="str">
        <f t="shared" si="111"/>
        <v/>
      </c>
      <c r="P344" s="229" t="str">
        <f t="shared" si="112"/>
        <v/>
      </c>
      <c r="Q344" s="229" t="str">
        <f t="shared" si="113"/>
        <v/>
      </c>
      <c r="R344" s="97" t="str">
        <f t="shared" si="114"/>
        <v/>
      </c>
      <c r="S344" s="80">
        <f t="shared" si="115"/>
        <v>331</v>
      </c>
      <c r="T344" s="80"/>
      <c r="U344" s="229" t="str">
        <f t="shared" si="116"/>
        <v/>
      </c>
      <c r="V344" s="229" t="str">
        <f t="shared" si="117"/>
        <v/>
      </c>
      <c r="W344" s="229" t="str">
        <f t="shared" si="118"/>
        <v/>
      </c>
      <c r="X344" s="97" t="str">
        <f t="shared" si="119"/>
        <v/>
      </c>
    </row>
    <row r="345" spans="1:24" x14ac:dyDescent="0.2">
      <c r="A345" s="80">
        <f t="shared" si="100"/>
        <v>332</v>
      </c>
      <c r="B345" s="80"/>
      <c r="C345" s="229" t="str">
        <f t="shared" si="101"/>
        <v/>
      </c>
      <c r="D345" s="229" t="str">
        <f t="shared" si="102"/>
        <v/>
      </c>
      <c r="E345" s="229" t="str">
        <f t="shared" si="103"/>
        <v/>
      </c>
      <c r="F345" s="97" t="str">
        <f t="shared" si="104"/>
        <v/>
      </c>
      <c r="G345" s="80">
        <f t="shared" si="105"/>
        <v>332</v>
      </c>
      <c r="H345" s="80"/>
      <c r="I345" s="229" t="str">
        <f t="shared" si="106"/>
        <v/>
      </c>
      <c r="J345" s="229" t="str">
        <f t="shared" si="107"/>
        <v/>
      </c>
      <c r="K345" s="229" t="str">
        <f t="shared" si="108"/>
        <v/>
      </c>
      <c r="L345" s="97" t="str">
        <f t="shared" si="109"/>
        <v/>
      </c>
      <c r="M345" s="80">
        <f t="shared" si="110"/>
        <v>332</v>
      </c>
      <c r="N345" s="80"/>
      <c r="O345" s="229" t="str">
        <f t="shared" si="111"/>
        <v/>
      </c>
      <c r="P345" s="229" t="str">
        <f t="shared" si="112"/>
        <v/>
      </c>
      <c r="Q345" s="229" t="str">
        <f t="shared" si="113"/>
        <v/>
      </c>
      <c r="R345" s="97" t="str">
        <f t="shared" si="114"/>
        <v/>
      </c>
      <c r="S345" s="80">
        <f t="shared" si="115"/>
        <v>332</v>
      </c>
      <c r="T345" s="80"/>
      <c r="U345" s="229" t="str">
        <f t="shared" si="116"/>
        <v/>
      </c>
      <c r="V345" s="229" t="str">
        <f t="shared" si="117"/>
        <v/>
      </c>
      <c r="W345" s="229" t="str">
        <f t="shared" si="118"/>
        <v/>
      </c>
      <c r="X345" s="97" t="str">
        <f t="shared" si="119"/>
        <v/>
      </c>
    </row>
    <row r="346" spans="1:24" x14ac:dyDescent="0.2">
      <c r="A346" s="80">
        <f t="shared" si="100"/>
        <v>333</v>
      </c>
      <c r="B346" s="80"/>
      <c r="C346" s="229" t="str">
        <f t="shared" si="101"/>
        <v/>
      </c>
      <c r="D346" s="229" t="str">
        <f t="shared" si="102"/>
        <v/>
      </c>
      <c r="E346" s="229" t="str">
        <f t="shared" si="103"/>
        <v/>
      </c>
      <c r="F346" s="97" t="str">
        <f t="shared" si="104"/>
        <v/>
      </c>
      <c r="G346" s="80">
        <f t="shared" si="105"/>
        <v>333</v>
      </c>
      <c r="H346" s="80"/>
      <c r="I346" s="229" t="str">
        <f t="shared" si="106"/>
        <v/>
      </c>
      <c r="J346" s="229" t="str">
        <f t="shared" si="107"/>
        <v/>
      </c>
      <c r="K346" s="229" t="str">
        <f t="shared" si="108"/>
        <v/>
      </c>
      <c r="L346" s="97" t="str">
        <f t="shared" si="109"/>
        <v/>
      </c>
      <c r="M346" s="80">
        <f t="shared" si="110"/>
        <v>333</v>
      </c>
      <c r="N346" s="80"/>
      <c r="O346" s="229" t="str">
        <f t="shared" si="111"/>
        <v/>
      </c>
      <c r="P346" s="229" t="str">
        <f t="shared" si="112"/>
        <v/>
      </c>
      <c r="Q346" s="229" t="str">
        <f t="shared" si="113"/>
        <v/>
      </c>
      <c r="R346" s="97" t="str">
        <f t="shared" si="114"/>
        <v/>
      </c>
      <c r="S346" s="80">
        <f t="shared" si="115"/>
        <v>333</v>
      </c>
      <c r="T346" s="80"/>
      <c r="U346" s="229" t="str">
        <f t="shared" si="116"/>
        <v/>
      </c>
      <c r="V346" s="229" t="str">
        <f t="shared" si="117"/>
        <v/>
      </c>
      <c r="W346" s="229" t="str">
        <f t="shared" si="118"/>
        <v/>
      </c>
      <c r="X346" s="97" t="str">
        <f t="shared" si="119"/>
        <v/>
      </c>
    </row>
    <row r="347" spans="1:24" x14ac:dyDescent="0.2">
      <c r="A347" s="80">
        <f t="shared" si="100"/>
        <v>334</v>
      </c>
      <c r="B347" s="80"/>
      <c r="C347" s="229" t="str">
        <f t="shared" si="101"/>
        <v/>
      </c>
      <c r="D347" s="229" t="str">
        <f t="shared" si="102"/>
        <v/>
      </c>
      <c r="E347" s="229" t="str">
        <f t="shared" si="103"/>
        <v/>
      </c>
      <c r="F347" s="97" t="str">
        <f t="shared" si="104"/>
        <v/>
      </c>
      <c r="G347" s="80">
        <f t="shared" si="105"/>
        <v>334</v>
      </c>
      <c r="H347" s="80"/>
      <c r="I347" s="229" t="str">
        <f t="shared" si="106"/>
        <v/>
      </c>
      <c r="J347" s="229" t="str">
        <f t="shared" si="107"/>
        <v/>
      </c>
      <c r="K347" s="229" t="str">
        <f t="shared" si="108"/>
        <v/>
      </c>
      <c r="L347" s="97" t="str">
        <f t="shared" si="109"/>
        <v/>
      </c>
      <c r="M347" s="80">
        <f t="shared" si="110"/>
        <v>334</v>
      </c>
      <c r="N347" s="80"/>
      <c r="O347" s="229" t="str">
        <f t="shared" si="111"/>
        <v/>
      </c>
      <c r="P347" s="229" t="str">
        <f t="shared" si="112"/>
        <v/>
      </c>
      <c r="Q347" s="229" t="str">
        <f t="shared" si="113"/>
        <v/>
      </c>
      <c r="R347" s="97" t="str">
        <f t="shared" si="114"/>
        <v/>
      </c>
      <c r="S347" s="80">
        <f t="shared" si="115"/>
        <v>334</v>
      </c>
      <c r="T347" s="80"/>
      <c r="U347" s="229" t="str">
        <f t="shared" si="116"/>
        <v/>
      </c>
      <c r="V347" s="229" t="str">
        <f t="shared" si="117"/>
        <v/>
      </c>
      <c r="W347" s="229" t="str">
        <f t="shared" si="118"/>
        <v/>
      </c>
      <c r="X347" s="97" t="str">
        <f t="shared" si="119"/>
        <v/>
      </c>
    </row>
    <row r="348" spans="1:24" x14ac:dyDescent="0.2">
      <c r="A348" s="80">
        <f t="shared" si="100"/>
        <v>335</v>
      </c>
      <c r="B348" s="80"/>
      <c r="C348" s="229" t="str">
        <f t="shared" si="101"/>
        <v/>
      </c>
      <c r="D348" s="229" t="str">
        <f t="shared" si="102"/>
        <v/>
      </c>
      <c r="E348" s="229" t="str">
        <f t="shared" si="103"/>
        <v/>
      </c>
      <c r="F348" s="97" t="str">
        <f t="shared" si="104"/>
        <v/>
      </c>
      <c r="G348" s="80">
        <f t="shared" si="105"/>
        <v>335</v>
      </c>
      <c r="H348" s="80"/>
      <c r="I348" s="229" t="str">
        <f t="shared" si="106"/>
        <v/>
      </c>
      <c r="J348" s="229" t="str">
        <f t="shared" si="107"/>
        <v/>
      </c>
      <c r="K348" s="229" t="str">
        <f t="shared" si="108"/>
        <v/>
      </c>
      <c r="L348" s="97" t="str">
        <f t="shared" si="109"/>
        <v/>
      </c>
      <c r="M348" s="80">
        <f t="shared" si="110"/>
        <v>335</v>
      </c>
      <c r="N348" s="80"/>
      <c r="O348" s="229" t="str">
        <f t="shared" si="111"/>
        <v/>
      </c>
      <c r="P348" s="229" t="str">
        <f t="shared" si="112"/>
        <v/>
      </c>
      <c r="Q348" s="229" t="str">
        <f t="shared" si="113"/>
        <v/>
      </c>
      <c r="R348" s="97" t="str">
        <f t="shared" si="114"/>
        <v/>
      </c>
      <c r="S348" s="80">
        <f t="shared" si="115"/>
        <v>335</v>
      </c>
      <c r="T348" s="80"/>
      <c r="U348" s="229" t="str">
        <f t="shared" si="116"/>
        <v/>
      </c>
      <c r="V348" s="229" t="str">
        <f t="shared" si="117"/>
        <v/>
      </c>
      <c r="W348" s="229" t="str">
        <f t="shared" si="118"/>
        <v/>
      </c>
      <c r="X348" s="97" t="str">
        <f t="shared" si="119"/>
        <v/>
      </c>
    </row>
    <row r="349" spans="1:24" x14ac:dyDescent="0.2">
      <c r="A349" s="80">
        <f t="shared" si="100"/>
        <v>336</v>
      </c>
      <c r="B349" s="80"/>
      <c r="C349" s="229" t="str">
        <f t="shared" si="101"/>
        <v/>
      </c>
      <c r="D349" s="229" t="str">
        <f t="shared" si="102"/>
        <v/>
      </c>
      <c r="E349" s="229" t="str">
        <f t="shared" si="103"/>
        <v/>
      </c>
      <c r="F349" s="97" t="str">
        <f t="shared" si="104"/>
        <v/>
      </c>
      <c r="G349" s="80">
        <f t="shared" si="105"/>
        <v>336</v>
      </c>
      <c r="H349" s="80"/>
      <c r="I349" s="229" t="str">
        <f t="shared" si="106"/>
        <v/>
      </c>
      <c r="J349" s="229" t="str">
        <f t="shared" si="107"/>
        <v/>
      </c>
      <c r="K349" s="229" t="str">
        <f t="shared" si="108"/>
        <v/>
      </c>
      <c r="L349" s="97" t="str">
        <f t="shared" si="109"/>
        <v/>
      </c>
      <c r="M349" s="80">
        <f t="shared" si="110"/>
        <v>336</v>
      </c>
      <c r="N349" s="80"/>
      <c r="O349" s="229" t="str">
        <f t="shared" si="111"/>
        <v/>
      </c>
      <c r="P349" s="229" t="str">
        <f t="shared" si="112"/>
        <v/>
      </c>
      <c r="Q349" s="229" t="str">
        <f t="shared" si="113"/>
        <v/>
      </c>
      <c r="R349" s="97" t="str">
        <f t="shared" si="114"/>
        <v/>
      </c>
      <c r="S349" s="80">
        <f t="shared" si="115"/>
        <v>336</v>
      </c>
      <c r="T349" s="80"/>
      <c r="U349" s="229" t="str">
        <f t="shared" si="116"/>
        <v/>
      </c>
      <c r="V349" s="229" t="str">
        <f t="shared" si="117"/>
        <v/>
      </c>
      <c r="W349" s="229" t="str">
        <f t="shared" si="118"/>
        <v/>
      </c>
      <c r="X349" s="97" t="str">
        <f t="shared" si="119"/>
        <v/>
      </c>
    </row>
    <row r="350" spans="1:24" x14ac:dyDescent="0.2">
      <c r="A350" s="80">
        <f t="shared" si="100"/>
        <v>337</v>
      </c>
      <c r="B350" s="80"/>
      <c r="C350" s="229" t="str">
        <f t="shared" si="101"/>
        <v/>
      </c>
      <c r="D350" s="229" t="str">
        <f t="shared" si="102"/>
        <v/>
      </c>
      <c r="E350" s="229" t="str">
        <f t="shared" si="103"/>
        <v/>
      </c>
      <c r="F350" s="97" t="str">
        <f t="shared" si="104"/>
        <v/>
      </c>
      <c r="G350" s="80">
        <f t="shared" si="105"/>
        <v>337</v>
      </c>
      <c r="H350" s="80"/>
      <c r="I350" s="229" t="str">
        <f t="shared" si="106"/>
        <v/>
      </c>
      <c r="J350" s="229" t="str">
        <f t="shared" si="107"/>
        <v/>
      </c>
      <c r="K350" s="229" t="str">
        <f t="shared" si="108"/>
        <v/>
      </c>
      <c r="L350" s="97" t="str">
        <f t="shared" si="109"/>
        <v/>
      </c>
      <c r="M350" s="80">
        <f t="shared" si="110"/>
        <v>337</v>
      </c>
      <c r="N350" s="80"/>
      <c r="O350" s="229" t="str">
        <f t="shared" si="111"/>
        <v/>
      </c>
      <c r="P350" s="229" t="str">
        <f t="shared" si="112"/>
        <v/>
      </c>
      <c r="Q350" s="229" t="str">
        <f t="shared" si="113"/>
        <v/>
      </c>
      <c r="R350" s="97" t="str">
        <f t="shared" si="114"/>
        <v/>
      </c>
      <c r="S350" s="80">
        <f t="shared" si="115"/>
        <v>337</v>
      </c>
      <c r="T350" s="80"/>
      <c r="U350" s="229" t="str">
        <f t="shared" si="116"/>
        <v/>
      </c>
      <c r="V350" s="229" t="str">
        <f t="shared" si="117"/>
        <v/>
      </c>
      <c r="W350" s="229" t="str">
        <f t="shared" si="118"/>
        <v/>
      </c>
      <c r="X350" s="97" t="str">
        <f t="shared" si="119"/>
        <v/>
      </c>
    </row>
    <row r="351" spans="1:24" x14ac:dyDescent="0.2">
      <c r="A351" s="80">
        <f t="shared" si="100"/>
        <v>338</v>
      </c>
      <c r="B351" s="80"/>
      <c r="C351" s="229" t="str">
        <f t="shared" si="101"/>
        <v/>
      </c>
      <c r="D351" s="229" t="str">
        <f t="shared" si="102"/>
        <v/>
      </c>
      <c r="E351" s="229" t="str">
        <f t="shared" si="103"/>
        <v/>
      </c>
      <c r="F351" s="97" t="str">
        <f t="shared" si="104"/>
        <v/>
      </c>
      <c r="G351" s="80">
        <f t="shared" si="105"/>
        <v>338</v>
      </c>
      <c r="H351" s="80"/>
      <c r="I351" s="229" t="str">
        <f t="shared" si="106"/>
        <v/>
      </c>
      <c r="J351" s="229" t="str">
        <f t="shared" si="107"/>
        <v/>
      </c>
      <c r="K351" s="229" t="str">
        <f t="shared" si="108"/>
        <v/>
      </c>
      <c r="L351" s="97" t="str">
        <f t="shared" si="109"/>
        <v/>
      </c>
      <c r="M351" s="80">
        <f t="shared" si="110"/>
        <v>338</v>
      </c>
      <c r="N351" s="80"/>
      <c r="O351" s="229" t="str">
        <f t="shared" si="111"/>
        <v/>
      </c>
      <c r="P351" s="229" t="str">
        <f t="shared" si="112"/>
        <v/>
      </c>
      <c r="Q351" s="229" t="str">
        <f t="shared" si="113"/>
        <v/>
      </c>
      <c r="R351" s="97" t="str">
        <f t="shared" si="114"/>
        <v/>
      </c>
      <c r="S351" s="80">
        <f t="shared" si="115"/>
        <v>338</v>
      </c>
      <c r="T351" s="80"/>
      <c r="U351" s="229" t="str">
        <f t="shared" si="116"/>
        <v/>
      </c>
      <c r="V351" s="229" t="str">
        <f t="shared" si="117"/>
        <v/>
      </c>
      <c r="W351" s="229" t="str">
        <f t="shared" si="118"/>
        <v/>
      </c>
      <c r="X351" s="97" t="str">
        <f t="shared" si="119"/>
        <v/>
      </c>
    </row>
    <row r="352" spans="1:24" x14ac:dyDescent="0.2">
      <c r="A352" s="80">
        <f t="shared" si="100"/>
        <v>339</v>
      </c>
      <c r="B352" s="80"/>
      <c r="C352" s="229" t="str">
        <f t="shared" si="101"/>
        <v/>
      </c>
      <c r="D352" s="229" t="str">
        <f t="shared" si="102"/>
        <v/>
      </c>
      <c r="E352" s="229" t="str">
        <f t="shared" si="103"/>
        <v/>
      </c>
      <c r="F352" s="97" t="str">
        <f t="shared" si="104"/>
        <v/>
      </c>
      <c r="G352" s="80">
        <f t="shared" si="105"/>
        <v>339</v>
      </c>
      <c r="H352" s="80"/>
      <c r="I352" s="229" t="str">
        <f t="shared" si="106"/>
        <v/>
      </c>
      <c r="J352" s="229" t="str">
        <f t="shared" si="107"/>
        <v/>
      </c>
      <c r="K352" s="229" t="str">
        <f t="shared" si="108"/>
        <v/>
      </c>
      <c r="L352" s="97" t="str">
        <f t="shared" si="109"/>
        <v/>
      </c>
      <c r="M352" s="80">
        <f t="shared" si="110"/>
        <v>339</v>
      </c>
      <c r="N352" s="80"/>
      <c r="O352" s="229" t="str">
        <f t="shared" si="111"/>
        <v/>
      </c>
      <c r="P352" s="229" t="str">
        <f t="shared" si="112"/>
        <v/>
      </c>
      <c r="Q352" s="229" t="str">
        <f t="shared" si="113"/>
        <v/>
      </c>
      <c r="R352" s="97" t="str">
        <f t="shared" si="114"/>
        <v/>
      </c>
      <c r="S352" s="80">
        <f t="shared" si="115"/>
        <v>339</v>
      </c>
      <c r="T352" s="80"/>
      <c r="U352" s="229" t="str">
        <f t="shared" si="116"/>
        <v/>
      </c>
      <c r="V352" s="229" t="str">
        <f t="shared" si="117"/>
        <v/>
      </c>
      <c r="W352" s="229" t="str">
        <f t="shared" si="118"/>
        <v/>
      </c>
      <c r="X352" s="97" t="str">
        <f t="shared" si="119"/>
        <v/>
      </c>
    </row>
    <row r="353" spans="1:24" x14ac:dyDescent="0.2">
      <c r="A353" s="80">
        <f t="shared" si="100"/>
        <v>340</v>
      </c>
      <c r="B353" s="80"/>
      <c r="C353" s="229" t="str">
        <f t="shared" si="101"/>
        <v/>
      </c>
      <c r="D353" s="229" t="str">
        <f t="shared" si="102"/>
        <v/>
      </c>
      <c r="E353" s="229" t="str">
        <f t="shared" si="103"/>
        <v/>
      </c>
      <c r="F353" s="97" t="str">
        <f t="shared" si="104"/>
        <v/>
      </c>
      <c r="G353" s="80">
        <f t="shared" si="105"/>
        <v>340</v>
      </c>
      <c r="H353" s="80"/>
      <c r="I353" s="229" t="str">
        <f t="shared" si="106"/>
        <v/>
      </c>
      <c r="J353" s="229" t="str">
        <f t="shared" si="107"/>
        <v/>
      </c>
      <c r="K353" s="229" t="str">
        <f t="shared" si="108"/>
        <v/>
      </c>
      <c r="L353" s="97" t="str">
        <f t="shared" si="109"/>
        <v/>
      </c>
      <c r="M353" s="80">
        <f t="shared" si="110"/>
        <v>340</v>
      </c>
      <c r="N353" s="80"/>
      <c r="O353" s="229" t="str">
        <f t="shared" si="111"/>
        <v/>
      </c>
      <c r="P353" s="229" t="str">
        <f t="shared" si="112"/>
        <v/>
      </c>
      <c r="Q353" s="229" t="str">
        <f t="shared" si="113"/>
        <v/>
      </c>
      <c r="R353" s="97" t="str">
        <f t="shared" si="114"/>
        <v/>
      </c>
      <c r="S353" s="80">
        <f t="shared" si="115"/>
        <v>340</v>
      </c>
      <c r="T353" s="80"/>
      <c r="U353" s="229" t="str">
        <f t="shared" si="116"/>
        <v/>
      </c>
      <c r="V353" s="229" t="str">
        <f t="shared" si="117"/>
        <v/>
      </c>
      <c r="W353" s="229" t="str">
        <f t="shared" si="118"/>
        <v/>
      </c>
      <c r="X353" s="97" t="str">
        <f t="shared" si="119"/>
        <v/>
      </c>
    </row>
    <row r="354" spans="1:24" x14ac:dyDescent="0.2">
      <c r="A354" s="80">
        <f t="shared" si="100"/>
        <v>341</v>
      </c>
      <c r="B354" s="80"/>
      <c r="C354" s="229" t="str">
        <f t="shared" si="101"/>
        <v/>
      </c>
      <c r="D354" s="229" t="str">
        <f t="shared" si="102"/>
        <v/>
      </c>
      <c r="E354" s="229" t="str">
        <f t="shared" si="103"/>
        <v/>
      </c>
      <c r="F354" s="97" t="str">
        <f t="shared" si="104"/>
        <v/>
      </c>
      <c r="G354" s="80">
        <f t="shared" si="105"/>
        <v>341</v>
      </c>
      <c r="H354" s="80"/>
      <c r="I354" s="229" t="str">
        <f t="shared" si="106"/>
        <v/>
      </c>
      <c r="J354" s="229" t="str">
        <f t="shared" si="107"/>
        <v/>
      </c>
      <c r="K354" s="229" t="str">
        <f t="shared" si="108"/>
        <v/>
      </c>
      <c r="L354" s="97" t="str">
        <f t="shared" si="109"/>
        <v/>
      </c>
      <c r="M354" s="80">
        <f t="shared" si="110"/>
        <v>341</v>
      </c>
      <c r="N354" s="80"/>
      <c r="O354" s="229" t="str">
        <f t="shared" si="111"/>
        <v/>
      </c>
      <c r="P354" s="229" t="str">
        <f t="shared" si="112"/>
        <v/>
      </c>
      <c r="Q354" s="229" t="str">
        <f t="shared" si="113"/>
        <v/>
      </c>
      <c r="R354" s="97" t="str">
        <f t="shared" si="114"/>
        <v/>
      </c>
      <c r="S354" s="80">
        <f t="shared" si="115"/>
        <v>341</v>
      </c>
      <c r="T354" s="80"/>
      <c r="U354" s="229" t="str">
        <f t="shared" si="116"/>
        <v/>
      </c>
      <c r="V354" s="229" t="str">
        <f t="shared" si="117"/>
        <v/>
      </c>
      <c r="W354" s="229" t="str">
        <f t="shared" si="118"/>
        <v/>
      </c>
      <c r="X354" s="97" t="str">
        <f t="shared" si="119"/>
        <v/>
      </c>
    </row>
    <row r="355" spans="1:24" x14ac:dyDescent="0.2">
      <c r="A355" s="80">
        <f t="shared" si="100"/>
        <v>342</v>
      </c>
      <c r="B355" s="80"/>
      <c r="C355" s="229" t="str">
        <f t="shared" si="101"/>
        <v/>
      </c>
      <c r="D355" s="229" t="str">
        <f t="shared" si="102"/>
        <v/>
      </c>
      <c r="E355" s="229" t="str">
        <f t="shared" si="103"/>
        <v/>
      </c>
      <c r="F355" s="97" t="str">
        <f t="shared" si="104"/>
        <v/>
      </c>
      <c r="G355" s="80">
        <f t="shared" si="105"/>
        <v>342</v>
      </c>
      <c r="H355" s="80"/>
      <c r="I355" s="229" t="str">
        <f t="shared" si="106"/>
        <v/>
      </c>
      <c r="J355" s="229" t="str">
        <f t="shared" si="107"/>
        <v/>
      </c>
      <c r="K355" s="229" t="str">
        <f t="shared" si="108"/>
        <v/>
      </c>
      <c r="L355" s="97" t="str">
        <f t="shared" si="109"/>
        <v/>
      </c>
      <c r="M355" s="80">
        <f t="shared" si="110"/>
        <v>342</v>
      </c>
      <c r="N355" s="80"/>
      <c r="O355" s="229" t="str">
        <f t="shared" si="111"/>
        <v/>
      </c>
      <c r="P355" s="229" t="str">
        <f t="shared" si="112"/>
        <v/>
      </c>
      <c r="Q355" s="229" t="str">
        <f t="shared" si="113"/>
        <v/>
      </c>
      <c r="R355" s="97" t="str">
        <f t="shared" si="114"/>
        <v/>
      </c>
      <c r="S355" s="80">
        <f t="shared" si="115"/>
        <v>342</v>
      </c>
      <c r="T355" s="80"/>
      <c r="U355" s="229" t="str">
        <f t="shared" si="116"/>
        <v/>
      </c>
      <c r="V355" s="229" t="str">
        <f t="shared" si="117"/>
        <v/>
      </c>
      <c r="W355" s="229" t="str">
        <f t="shared" si="118"/>
        <v/>
      </c>
      <c r="X355" s="97" t="str">
        <f t="shared" si="119"/>
        <v/>
      </c>
    </row>
    <row r="356" spans="1:24" x14ac:dyDescent="0.2">
      <c r="A356" s="80">
        <f t="shared" si="100"/>
        <v>343</v>
      </c>
      <c r="B356" s="80"/>
      <c r="C356" s="229" t="str">
        <f t="shared" si="101"/>
        <v/>
      </c>
      <c r="D356" s="229" t="str">
        <f t="shared" si="102"/>
        <v/>
      </c>
      <c r="E356" s="229" t="str">
        <f t="shared" si="103"/>
        <v/>
      </c>
      <c r="F356" s="97" t="str">
        <f t="shared" si="104"/>
        <v/>
      </c>
      <c r="G356" s="80">
        <f t="shared" si="105"/>
        <v>343</v>
      </c>
      <c r="H356" s="80"/>
      <c r="I356" s="229" t="str">
        <f t="shared" si="106"/>
        <v/>
      </c>
      <c r="J356" s="229" t="str">
        <f t="shared" si="107"/>
        <v/>
      </c>
      <c r="K356" s="229" t="str">
        <f t="shared" si="108"/>
        <v/>
      </c>
      <c r="L356" s="97" t="str">
        <f t="shared" si="109"/>
        <v/>
      </c>
      <c r="M356" s="80">
        <f t="shared" si="110"/>
        <v>343</v>
      </c>
      <c r="N356" s="80"/>
      <c r="O356" s="229" t="str">
        <f t="shared" si="111"/>
        <v/>
      </c>
      <c r="P356" s="229" t="str">
        <f t="shared" si="112"/>
        <v/>
      </c>
      <c r="Q356" s="229" t="str">
        <f t="shared" si="113"/>
        <v/>
      </c>
      <c r="R356" s="97" t="str">
        <f t="shared" si="114"/>
        <v/>
      </c>
      <c r="S356" s="80">
        <f t="shared" si="115"/>
        <v>343</v>
      </c>
      <c r="T356" s="80"/>
      <c r="U356" s="229" t="str">
        <f t="shared" si="116"/>
        <v/>
      </c>
      <c r="V356" s="229" t="str">
        <f t="shared" si="117"/>
        <v/>
      </c>
      <c r="W356" s="229" t="str">
        <f t="shared" si="118"/>
        <v/>
      </c>
      <c r="X356" s="97" t="str">
        <f t="shared" si="119"/>
        <v/>
      </c>
    </row>
    <row r="357" spans="1:24" x14ac:dyDescent="0.2">
      <c r="A357" s="80">
        <f t="shared" si="100"/>
        <v>344</v>
      </c>
      <c r="B357" s="80"/>
      <c r="C357" s="229" t="str">
        <f t="shared" si="101"/>
        <v/>
      </c>
      <c r="D357" s="229" t="str">
        <f t="shared" si="102"/>
        <v/>
      </c>
      <c r="E357" s="229" t="str">
        <f t="shared" si="103"/>
        <v/>
      </c>
      <c r="F357" s="97" t="str">
        <f t="shared" si="104"/>
        <v/>
      </c>
      <c r="G357" s="80">
        <f t="shared" si="105"/>
        <v>344</v>
      </c>
      <c r="H357" s="80"/>
      <c r="I357" s="229" t="str">
        <f t="shared" si="106"/>
        <v/>
      </c>
      <c r="J357" s="229" t="str">
        <f t="shared" si="107"/>
        <v/>
      </c>
      <c r="K357" s="229" t="str">
        <f t="shared" si="108"/>
        <v/>
      </c>
      <c r="L357" s="97" t="str">
        <f t="shared" si="109"/>
        <v/>
      </c>
      <c r="M357" s="80">
        <f t="shared" si="110"/>
        <v>344</v>
      </c>
      <c r="N357" s="80"/>
      <c r="O357" s="229" t="str">
        <f t="shared" si="111"/>
        <v/>
      </c>
      <c r="P357" s="229" t="str">
        <f t="shared" si="112"/>
        <v/>
      </c>
      <c r="Q357" s="229" t="str">
        <f t="shared" si="113"/>
        <v/>
      </c>
      <c r="R357" s="97" t="str">
        <f t="shared" si="114"/>
        <v/>
      </c>
      <c r="S357" s="80">
        <f t="shared" si="115"/>
        <v>344</v>
      </c>
      <c r="T357" s="80"/>
      <c r="U357" s="229" t="str">
        <f t="shared" si="116"/>
        <v/>
      </c>
      <c r="V357" s="229" t="str">
        <f t="shared" si="117"/>
        <v/>
      </c>
      <c r="W357" s="229" t="str">
        <f t="shared" si="118"/>
        <v/>
      </c>
      <c r="X357" s="97" t="str">
        <f t="shared" si="119"/>
        <v/>
      </c>
    </row>
    <row r="358" spans="1:24" x14ac:dyDescent="0.2">
      <c r="A358" s="80">
        <f t="shared" si="100"/>
        <v>345</v>
      </c>
      <c r="B358" s="80"/>
      <c r="C358" s="229" t="str">
        <f t="shared" si="101"/>
        <v/>
      </c>
      <c r="D358" s="229" t="str">
        <f t="shared" si="102"/>
        <v/>
      </c>
      <c r="E358" s="229" t="str">
        <f t="shared" si="103"/>
        <v/>
      </c>
      <c r="F358" s="97" t="str">
        <f t="shared" si="104"/>
        <v/>
      </c>
      <c r="G358" s="80">
        <f t="shared" si="105"/>
        <v>345</v>
      </c>
      <c r="H358" s="80"/>
      <c r="I358" s="229" t="str">
        <f t="shared" si="106"/>
        <v/>
      </c>
      <c r="J358" s="229" t="str">
        <f t="shared" si="107"/>
        <v/>
      </c>
      <c r="K358" s="229" t="str">
        <f t="shared" si="108"/>
        <v/>
      </c>
      <c r="L358" s="97" t="str">
        <f t="shared" si="109"/>
        <v/>
      </c>
      <c r="M358" s="80">
        <f t="shared" si="110"/>
        <v>345</v>
      </c>
      <c r="N358" s="80"/>
      <c r="O358" s="229" t="str">
        <f t="shared" si="111"/>
        <v/>
      </c>
      <c r="P358" s="229" t="str">
        <f t="shared" si="112"/>
        <v/>
      </c>
      <c r="Q358" s="229" t="str">
        <f t="shared" si="113"/>
        <v/>
      </c>
      <c r="R358" s="97" t="str">
        <f t="shared" si="114"/>
        <v/>
      </c>
      <c r="S358" s="80">
        <f t="shared" si="115"/>
        <v>345</v>
      </c>
      <c r="T358" s="80"/>
      <c r="U358" s="229" t="str">
        <f t="shared" si="116"/>
        <v/>
      </c>
      <c r="V358" s="229" t="str">
        <f t="shared" si="117"/>
        <v/>
      </c>
      <c r="W358" s="229" t="str">
        <f t="shared" si="118"/>
        <v/>
      </c>
      <c r="X358" s="97" t="str">
        <f t="shared" si="119"/>
        <v/>
      </c>
    </row>
    <row r="359" spans="1:24" x14ac:dyDescent="0.2">
      <c r="A359" s="80">
        <f t="shared" si="100"/>
        <v>346</v>
      </c>
      <c r="B359" s="80"/>
      <c r="C359" s="229" t="str">
        <f t="shared" si="101"/>
        <v/>
      </c>
      <c r="D359" s="229" t="str">
        <f t="shared" si="102"/>
        <v/>
      </c>
      <c r="E359" s="229" t="str">
        <f t="shared" si="103"/>
        <v/>
      </c>
      <c r="F359" s="97" t="str">
        <f t="shared" si="104"/>
        <v/>
      </c>
      <c r="G359" s="80">
        <f t="shared" si="105"/>
        <v>346</v>
      </c>
      <c r="H359" s="80"/>
      <c r="I359" s="229" t="str">
        <f t="shared" si="106"/>
        <v/>
      </c>
      <c r="J359" s="229" t="str">
        <f t="shared" si="107"/>
        <v/>
      </c>
      <c r="K359" s="229" t="str">
        <f t="shared" si="108"/>
        <v/>
      </c>
      <c r="L359" s="97" t="str">
        <f t="shared" si="109"/>
        <v/>
      </c>
      <c r="M359" s="80">
        <f t="shared" si="110"/>
        <v>346</v>
      </c>
      <c r="N359" s="80"/>
      <c r="O359" s="229" t="str">
        <f t="shared" si="111"/>
        <v/>
      </c>
      <c r="P359" s="229" t="str">
        <f t="shared" si="112"/>
        <v/>
      </c>
      <c r="Q359" s="229" t="str">
        <f t="shared" si="113"/>
        <v/>
      </c>
      <c r="R359" s="97" t="str">
        <f t="shared" si="114"/>
        <v/>
      </c>
      <c r="S359" s="80">
        <f t="shared" si="115"/>
        <v>346</v>
      </c>
      <c r="T359" s="80"/>
      <c r="U359" s="229" t="str">
        <f t="shared" si="116"/>
        <v/>
      </c>
      <c r="V359" s="229" t="str">
        <f t="shared" si="117"/>
        <v/>
      </c>
      <c r="W359" s="229" t="str">
        <f t="shared" si="118"/>
        <v/>
      </c>
      <c r="X359" s="97" t="str">
        <f t="shared" si="119"/>
        <v/>
      </c>
    </row>
    <row r="360" spans="1:24" x14ac:dyDescent="0.2">
      <c r="A360" s="80">
        <f t="shared" si="100"/>
        <v>347</v>
      </c>
      <c r="B360" s="80"/>
      <c r="C360" s="229" t="str">
        <f t="shared" si="101"/>
        <v/>
      </c>
      <c r="D360" s="229" t="str">
        <f t="shared" si="102"/>
        <v/>
      </c>
      <c r="E360" s="229" t="str">
        <f t="shared" si="103"/>
        <v/>
      </c>
      <c r="F360" s="97" t="str">
        <f t="shared" si="104"/>
        <v/>
      </c>
      <c r="G360" s="80">
        <f t="shared" si="105"/>
        <v>347</v>
      </c>
      <c r="H360" s="80"/>
      <c r="I360" s="229" t="str">
        <f t="shared" si="106"/>
        <v/>
      </c>
      <c r="J360" s="229" t="str">
        <f t="shared" si="107"/>
        <v/>
      </c>
      <c r="K360" s="229" t="str">
        <f t="shared" si="108"/>
        <v/>
      </c>
      <c r="L360" s="97" t="str">
        <f t="shared" si="109"/>
        <v/>
      </c>
      <c r="M360" s="80">
        <f t="shared" si="110"/>
        <v>347</v>
      </c>
      <c r="N360" s="80"/>
      <c r="O360" s="229" t="str">
        <f t="shared" si="111"/>
        <v/>
      </c>
      <c r="P360" s="229" t="str">
        <f t="shared" si="112"/>
        <v/>
      </c>
      <c r="Q360" s="229" t="str">
        <f t="shared" si="113"/>
        <v/>
      </c>
      <c r="R360" s="97" t="str">
        <f t="shared" si="114"/>
        <v/>
      </c>
      <c r="S360" s="80">
        <f t="shared" si="115"/>
        <v>347</v>
      </c>
      <c r="T360" s="80"/>
      <c r="U360" s="229" t="str">
        <f t="shared" si="116"/>
        <v/>
      </c>
      <c r="V360" s="229" t="str">
        <f t="shared" si="117"/>
        <v/>
      </c>
      <c r="W360" s="229" t="str">
        <f t="shared" si="118"/>
        <v/>
      </c>
      <c r="X360" s="97" t="str">
        <f t="shared" si="119"/>
        <v/>
      </c>
    </row>
    <row r="361" spans="1:24" x14ac:dyDescent="0.2">
      <c r="A361" s="80">
        <f t="shared" si="100"/>
        <v>348</v>
      </c>
      <c r="B361" s="80"/>
      <c r="C361" s="229" t="str">
        <f t="shared" si="101"/>
        <v/>
      </c>
      <c r="D361" s="229" t="str">
        <f t="shared" si="102"/>
        <v/>
      </c>
      <c r="E361" s="229" t="str">
        <f t="shared" si="103"/>
        <v/>
      </c>
      <c r="F361" s="97" t="str">
        <f t="shared" si="104"/>
        <v/>
      </c>
      <c r="G361" s="80">
        <f t="shared" si="105"/>
        <v>348</v>
      </c>
      <c r="H361" s="80"/>
      <c r="I361" s="229" t="str">
        <f t="shared" si="106"/>
        <v/>
      </c>
      <c r="J361" s="229" t="str">
        <f t="shared" si="107"/>
        <v/>
      </c>
      <c r="K361" s="229" t="str">
        <f t="shared" si="108"/>
        <v/>
      </c>
      <c r="L361" s="97" t="str">
        <f t="shared" si="109"/>
        <v/>
      </c>
      <c r="M361" s="80">
        <f t="shared" si="110"/>
        <v>348</v>
      </c>
      <c r="N361" s="80"/>
      <c r="O361" s="229" t="str">
        <f t="shared" si="111"/>
        <v/>
      </c>
      <c r="P361" s="229" t="str">
        <f t="shared" si="112"/>
        <v/>
      </c>
      <c r="Q361" s="229" t="str">
        <f t="shared" si="113"/>
        <v/>
      </c>
      <c r="R361" s="97" t="str">
        <f t="shared" si="114"/>
        <v/>
      </c>
      <c r="S361" s="80">
        <f t="shared" si="115"/>
        <v>348</v>
      </c>
      <c r="T361" s="80"/>
      <c r="U361" s="229" t="str">
        <f t="shared" si="116"/>
        <v/>
      </c>
      <c r="V361" s="229" t="str">
        <f t="shared" si="117"/>
        <v/>
      </c>
      <c r="W361" s="229" t="str">
        <f t="shared" si="118"/>
        <v/>
      </c>
      <c r="X361" s="97" t="str">
        <f t="shared" si="119"/>
        <v/>
      </c>
    </row>
    <row r="362" spans="1:24" x14ac:dyDescent="0.2">
      <c r="A362" s="80">
        <f t="shared" si="100"/>
        <v>349</v>
      </c>
      <c r="B362" s="80"/>
      <c r="C362" s="229" t="str">
        <f t="shared" si="101"/>
        <v/>
      </c>
      <c r="D362" s="229" t="str">
        <f t="shared" si="102"/>
        <v/>
      </c>
      <c r="E362" s="229" t="str">
        <f t="shared" si="103"/>
        <v/>
      </c>
      <c r="F362" s="97" t="str">
        <f t="shared" si="104"/>
        <v/>
      </c>
      <c r="G362" s="80">
        <f t="shared" si="105"/>
        <v>349</v>
      </c>
      <c r="H362" s="80"/>
      <c r="I362" s="229" t="str">
        <f t="shared" si="106"/>
        <v/>
      </c>
      <c r="J362" s="229" t="str">
        <f t="shared" si="107"/>
        <v/>
      </c>
      <c r="K362" s="229" t="str">
        <f t="shared" si="108"/>
        <v/>
      </c>
      <c r="L362" s="97" t="str">
        <f t="shared" si="109"/>
        <v/>
      </c>
      <c r="M362" s="80">
        <f t="shared" si="110"/>
        <v>349</v>
      </c>
      <c r="N362" s="80"/>
      <c r="O362" s="229" t="str">
        <f t="shared" si="111"/>
        <v/>
      </c>
      <c r="P362" s="229" t="str">
        <f t="shared" si="112"/>
        <v/>
      </c>
      <c r="Q362" s="229" t="str">
        <f t="shared" si="113"/>
        <v/>
      </c>
      <c r="R362" s="97" t="str">
        <f t="shared" si="114"/>
        <v/>
      </c>
      <c r="S362" s="80">
        <f t="shared" si="115"/>
        <v>349</v>
      </c>
      <c r="T362" s="80"/>
      <c r="U362" s="229" t="str">
        <f t="shared" si="116"/>
        <v/>
      </c>
      <c r="V362" s="229" t="str">
        <f t="shared" si="117"/>
        <v/>
      </c>
      <c r="W362" s="229" t="str">
        <f t="shared" si="118"/>
        <v/>
      </c>
      <c r="X362" s="97" t="str">
        <f t="shared" si="119"/>
        <v/>
      </c>
    </row>
    <row r="363" spans="1:24" x14ac:dyDescent="0.2">
      <c r="A363" s="80">
        <f t="shared" si="100"/>
        <v>350</v>
      </c>
      <c r="B363" s="80"/>
      <c r="C363" s="229" t="str">
        <f t="shared" si="101"/>
        <v/>
      </c>
      <c r="D363" s="229" t="str">
        <f t="shared" si="102"/>
        <v/>
      </c>
      <c r="E363" s="229" t="str">
        <f t="shared" si="103"/>
        <v/>
      </c>
      <c r="F363" s="97" t="str">
        <f t="shared" si="104"/>
        <v/>
      </c>
      <c r="G363" s="80">
        <f t="shared" si="105"/>
        <v>350</v>
      </c>
      <c r="H363" s="80"/>
      <c r="I363" s="229" t="str">
        <f t="shared" si="106"/>
        <v/>
      </c>
      <c r="J363" s="229" t="str">
        <f t="shared" si="107"/>
        <v/>
      </c>
      <c r="K363" s="229" t="str">
        <f t="shared" si="108"/>
        <v/>
      </c>
      <c r="L363" s="97" t="str">
        <f t="shared" si="109"/>
        <v/>
      </c>
      <c r="M363" s="80">
        <f t="shared" si="110"/>
        <v>350</v>
      </c>
      <c r="N363" s="80"/>
      <c r="O363" s="229" t="str">
        <f t="shared" si="111"/>
        <v/>
      </c>
      <c r="P363" s="229" t="str">
        <f t="shared" si="112"/>
        <v/>
      </c>
      <c r="Q363" s="229" t="str">
        <f t="shared" si="113"/>
        <v/>
      </c>
      <c r="R363" s="97" t="str">
        <f t="shared" si="114"/>
        <v/>
      </c>
      <c r="S363" s="80">
        <f t="shared" si="115"/>
        <v>350</v>
      </c>
      <c r="T363" s="80"/>
      <c r="U363" s="229" t="str">
        <f t="shared" si="116"/>
        <v/>
      </c>
      <c r="V363" s="229" t="str">
        <f t="shared" si="117"/>
        <v/>
      </c>
      <c r="W363" s="229" t="str">
        <f t="shared" si="118"/>
        <v/>
      </c>
      <c r="X363" s="97" t="str">
        <f t="shared" si="119"/>
        <v/>
      </c>
    </row>
    <row r="364" spans="1:24" x14ac:dyDescent="0.2">
      <c r="A364" s="80">
        <f t="shared" si="100"/>
        <v>351</v>
      </c>
      <c r="B364" s="80"/>
      <c r="C364" s="229" t="str">
        <f t="shared" si="101"/>
        <v/>
      </c>
      <c r="D364" s="229" t="str">
        <f t="shared" si="102"/>
        <v/>
      </c>
      <c r="E364" s="229" t="str">
        <f t="shared" si="103"/>
        <v/>
      </c>
      <c r="F364" s="97" t="str">
        <f t="shared" si="104"/>
        <v/>
      </c>
      <c r="G364" s="80">
        <f t="shared" si="105"/>
        <v>351</v>
      </c>
      <c r="H364" s="80"/>
      <c r="I364" s="229" t="str">
        <f t="shared" si="106"/>
        <v/>
      </c>
      <c r="J364" s="229" t="str">
        <f t="shared" si="107"/>
        <v/>
      </c>
      <c r="K364" s="229" t="str">
        <f t="shared" si="108"/>
        <v/>
      </c>
      <c r="L364" s="97" t="str">
        <f t="shared" si="109"/>
        <v/>
      </c>
      <c r="M364" s="80">
        <f t="shared" si="110"/>
        <v>351</v>
      </c>
      <c r="N364" s="80"/>
      <c r="O364" s="229" t="str">
        <f t="shared" si="111"/>
        <v/>
      </c>
      <c r="P364" s="229" t="str">
        <f t="shared" si="112"/>
        <v/>
      </c>
      <c r="Q364" s="229" t="str">
        <f t="shared" si="113"/>
        <v/>
      </c>
      <c r="R364" s="97" t="str">
        <f t="shared" si="114"/>
        <v/>
      </c>
      <c r="S364" s="80">
        <f t="shared" si="115"/>
        <v>351</v>
      </c>
      <c r="T364" s="80"/>
      <c r="U364" s="229" t="str">
        <f t="shared" si="116"/>
        <v/>
      </c>
      <c r="V364" s="229" t="str">
        <f t="shared" si="117"/>
        <v/>
      </c>
      <c r="W364" s="229" t="str">
        <f t="shared" si="118"/>
        <v/>
      </c>
      <c r="X364" s="97" t="str">
        <f t="shared" si="119"/>
        <v/>
      </c>
    </row>
    <row r="365" spans="1:24" x14ac:dyDescent="0.2">
      <c r="A365" s="80">
        <f t="shared" si="100"/>
        <v>352</v>
      </c>
      <c r="B365" s="80"/>
      <c r="C365" s="229" t="str">
        <f t="shared" si="101"/>
        <v/>
      </c>
      <c r="D365" s="229" t="str">
        <f t="shared" si="102"/>
        <v/>
      </c>
      <c r="E365" s="229" t="str">
        <f t="shared" si="103"/>
        <v/>
      </c>
      <c r="F365" s="97" t="str">
        <f t="shared" si="104"/>
        <v/>
      </c>
      <c r="G365" s="80">
        <f t="shared" si="105"/>
        <v>352</v>
      </c>
      <c r="H365" s="80"/>
      <c r="I365" s="229" t="str">
        <f t="shared" si="106"/>
        <v/>
      </c>
      <c r="J365" s="229" t="str">
        <f t="shared" si="107"/>
        <v/>
      </c>
      <c r="K365" s="229" t="str">
        <f t="shared" si="108"/>
        <v/>
      </c>
      <c r="L365" s="97" t="str">
        <f t="shared" si="109"/>
        <v/>
      </c>
      <c r="M365" s="80">
        <f t="shared" si="110"/>
        <v>352</v>
      </c>
      <c r="N365" s="80"/>
      <c r="O365" s="229" t="str">
        <f t="shared" si="111"/>
        <v/>
      </c>
      <c r="P365" s="229" t="str">
        <f t="shared" si="112"/>
        <v/>
      </c>
      <c r="Q365" s="229" t="str">
        <f t="shared" si="113"/>
        <v/>
      </c>
      <c r="R365" s="97" t="str">
        <f t="shared" si="114"/>
        <v/>
      </c>
      <c r="S365" s="80">
        <f t="shared" si="115"/>
        <v>352</v>
      </c>
      <c r="T365" s="80"/>
      <c r="U365" s="229" t="str">
        <f t="shared" si="116"/>
        <v/>
      </c>
      <c r="V365" s="229" t="str">
        <f t="shared" si="117"/>
        <v/>
      </c>
      <c r="W365" s="229" t="str">
        <f t="shared" si="118"/>
        <v/>
      </c>
      <c r="X365" s="97" t="str">
        <f t="shared" si="119"/>
        <v/>
      </c>
    </row>
    <row r="366" spans="1:24" x14ac:dyDescent="0.2">
      <c r="A366" s="80">
        <f t="shared" si="100"/>
        <v>353</v>
      </c>
      <c r="B366" s="80"/>
      <c r="C366" s="229" t="str">
        <f t="shared" si="101"/>
        <v/>
      </c>
      <c r="D366" s="229" t="str">
        <f t="shared" si="102"/>
        <v/>
      </c>
      <c r="E366" s="229" t="str">
        <f t="shared" si="103"/>
        <v/>
      </c>
      <c r="F366" s="97" t="str">
        <f t="shared" si="104"/>
        <v/>
      </c>
      <c r="G366" s="80">
        <f t="shared" si="105"/>
        <v>353</v>
      </c>
      <c r="H366" s="80"/>
      <c r="I366" s="229" t="str">
        <f t="shared" si="106"/>
        <v/>
      </c>
      <c r="J366" s="229" t="str">
        <f t="shared" si="107"/>
        <v/>
      </c>
      <c r="K366" s="229" t="str">
        <f t="shared" si="108"/>
        <v/>
      </c>
      <c r="L366" s="97" t="str">
        <f t="shared" si="109"/>
        <v/>
      </c>
      <c r="M366" s="80">
        <f t="shared" si="110"/>
        <v>353</v>
      </c>
      <c r="N366" s="80"/>
      <c r="O366" s="229" t="str">
        <f t="shared" si="111"/>
        <v/>
      </c>
      <c r="P366" s="229" t="str">
        <f t="shared" si="112"/>
        <v/>
      </c>
      <c r="Q366" s="229" t="str">
        <f t="shared" si="113"/>
        <v/>
      </c>
      <c r="R366" s="97" t="str">
        <f t="shared" si="114"/>
        <v/>
      </c>
      <c r="S366" s="80">
        <f t="shared" si="115"/>
        <v>353</v>
      </c>
      <c r="T366" s="80"/>
      <c r="U366" s="229" t="str">
        <f t="shared" si="116"/>
        <v/>
      </c>
      <c r="V366" s="229" t="str">
        <f t="shared" si="117"/>
        <v/>
      </c>
      <c r="W366" s="229" t="str">
        <f t="shared" si="118"/>
        <v/>
      </c>
      <c r="X366" s="97" t="str">
        <f t="shared" si="119"/>
        <v/>
      </c>
    </row>
    <row r="367" spans="1:24" x14ac:dyDescent="0.2">
      <c r="A367" s="80">
        <f t="shared" si="100"/>
        <v>354</v>
      </c>
      <c r="B367" s="80"/>
      <c r="C367" s="229" t="str">
        <f t="shared" si="101"/>
        <v/>
      </c>
      <c r="D367" s="229" t="str">
        <f t="shared" si="102"/>
        <v/>
      </c>
      <c r="E367" s="229" t="str">
        <f t="shared" si="103"/>
        <v/>
      </c>
      <c r="F367" s="97" t="str">
        <f t="shared" si="104"/>
        <v/>
      </c>
      <c r="G367" s="80">
        <f t="shared" si="105"/>
        <v>354</v>
      </c>
      <c r="H367" s="80"/>
      <c r="I367" s="229" t="str">
        <f t="shared" si="106"/>
        <v/>
      </c>
      <c r="J367" s="229" t="str">
        <f t="shared" si="107"/>
        <v/>
      </c>
      <c r="K367" s="229" t="str">
        <f t="shared" si="108"/>
        <v/>
      </c>
      <c r="L367" s="97" t="str">
        <f t="shared" si="109"/>
        <v/>
      </c>
      <c r="M367" s="80">
        <f t="shared" si="110"/>
        <v>354</v>
      </c>
      <c r="N367" s="80"/>
      <c r="O367" s="229" t="str">
        <f t="shared" si="111"/>
        <v/>
      </c>
      <c r="P367" s="229" t="str">
        <f t="shared" si="112"/>
        <v/>
      </c>
      <c r="Q367" s="229" t="str">
        <f t="shared" si="113"/>
        <v/>
      </c>
      <c r="R367" s="97" t="str">
        <f t="shared" si="114"/>
        <v/>
      </c>
      <c r="S367" s="80">
        <f t="shared" si="115"/>
        <v>354</v>
      </c>
      <c r="T367" s="80"/>
      <c r="U367" s="229" t="str">
        <f t="shared" si="116"/>
        <v/>
      </c>
      <c r="V367" s="229" t="str">
        <f t="shared" si="117"/>
        <v/>
      </c>
      <c r="W367" s="229" t="str">
        <f t="shared" si="118"/>
        <v/>
      </c>
      <c r="X367" s="97" t="str">
        <f t="shared" si="119"/>
        <v/>
      </c>
    </row>
    <row r="368" spans="1:24" x14ac:dyDescent="0.2">
      <c r="A368" s="80">
        <f t="shared" si="100"/>
        <v>355</v>
      </c>
      <c r="B368" s="80"/>
      <c r="C368" s="229" t="str">
        <f t="shared" si="101"/>
        <v/>
      </c>
      <c r="D368" s="229" t="str">
        <f t="shared" si="102"/>
        <v/>
      </c>
      <c r="E368" s="229" t="str">
        <f t="shared" si="103"/>
        <v/>
      </c>
      <c r="F368" s="97" t="str">
        <f t="shared" si="104"/>
        <v/>
      </c>
      <c r="G368" s="80">
        <f t="shared" si="105"/>
        <v>355</v>
      </c>
      <c r="H368" s="80"/>
      <c r="I368" s="229" t="str">
        <f t="shared" si="106"/>
        <v/>
      </c>
      <c r="J368" s="229" t="str">
        <f t="shared" si="107"/>
        <v/>
      </c>
      <c r="K368" s="229" t="str">
        <f t="shared" si="108"/>
        <v/>
      </c>
      <c r="L368" s="97" t="str">
        <f t="shared" si="109"/>
        <v/>
      </c>
      <c r="M368" s="80">
        <f t="shared" si="110"/>
        <v>355</v>
      </c>
      <c r="N368" s="80"/>
      <c r="O368" s="229" t="str">
        <f t="shared" si="111"/>
        <v/>
      </c>
      <c r="P368" s="229" t="str">
        <f t="shared" si="112"/>
        <v/>
      </c>
      <c r="Q368" s="229" t="str">
        <f t="shared" si="113"/>
        <v/>
      </c>
      <c r="R368" s="97" t="str">
        <f t="shared" si="114"/>
        <v/>
      </c>
      <c r="S368" s="80">
        <f t="shared" si="115"/>
        <v>355</v>
      </c>
      <c r="T368" s="80"/>
      <c r="U368" s="229" t="str">
        <f t="shared" si="116"/>
        <v/>
      </c>
      <c r="V368" s="229" t="str">
        <f t="shared" si="117"/>
        <v/>
      </c>
      <c r="W368" s="229" t="str">
        <f t="shared" si="118"/>
        <v/>
      </c>
      <c r="X368" s="97" t="str">
        <f t="shared" si="119"/>
        <v/>
      </c>
    </row>
    <row r="369" spans="1:24" x14ac:dyDescent="0.2">
      <c r="A369" s="80">
        <f t="shared" si="100"/>
        <v>356</v>
      </c>
      <c r="B369" s="80"/>
      <c r="C369" s="229" t="str">
        <f t="shared" si="101"/>
        <v/>
      </c>
      <c r="D369" s="229" t="str">
        <f t="shared" si="102"/>
        <v/>
      </c>
      <c r="E369" s="229" t="str">
        <f t="shared" si="103"/>
        <v/>
      </c>
      <c r="F369" s="97" t="str">
        <f t="shared" si="104"/>
        <v/>
      </c>
      <c r="G369" s="80">
        <f t="shared" si="105"/>
        <v>356</v>
      </c>
      <c r="H369" s="80"/>
      <c r="I369" s="229" t="str">
        <f t="shared" si="106"/>
        <v/>
      </c>
      <c r="J369" s="229" t="str">
        <f t="shared" si="107"/>
        <v/>
      </c>
      <c r="K369" s="229" t="str">
        <f t="shared" si="108"/>
        <v/>
      </c>
      <c r="L369" s="97" t="str">
        <f t="shared" si="109"/>
        <v/>
      </c>
      <c r="M369" s="80">
        <f t="shared" si="110"/>
        <v>356</v>
      </c>
      <c r="N369" s="80"/>
      <c r="O369" s="229" t="str">
        <f t="shared" si="111"/>
        <v/>
      </c>
      <c r="P369" s="229" t="str">
        <f t="shared" si="112"/>
        <v/>
      </c>
      <c r="Q369" s="229" t="str">
        <f t="shared" si="113"/>
        <v/>
      </c>
      <c r="R369" s="97" t="str">
        <f t="shared" si="114"/>
        <v/>
      </c>
      <c r="S369" s="80">
        <f t="shared" si="115"/>
        <v>356</v>
      </c>
      <c r="T369" s="80"/>
      <c r="U369" s="229" t="str">
        <f t="shared" si="116"/>
        <v/>
      </c>
      <c r="V369" s="229" t="str">
        <f t="shared" si="117"/>
        <v/>
      </c>
      <c r="W369" s="229" t="str">
        <f t="shared" si="118"/>
        <v/>
      </c>
      <c r="X369" s="97" t="str">
        <f t="shared" si="119"/>
        <v/>
      </c>
    </row>
    <row r="370" spans="1:24" x14ac:dyDescent="0.2">
      <c r="A370" s="80">
        <f t="shared" si="100"/>
        <v>357</v>
      </c>
      <c r="B370" s="80"/>
      <c r="C370" s="229" t="str">
        <f t="shared" si="101"/>
        <v/>
      </c>
      <c r="D370" s="229" t="str">
        <f t="shared" si="102"/>
        <v/>
      </c>
      <c r="E370" s="229" t="str">
        <f t="shared" si="103"/>
        <v/>
      </c>
      <c r="F370" s="97" t="str">
        <f t="shared" si="104"/>
        <v/>
      </c>
      <c r="G370" s="80">
        <f t="shared" si="105"/>
        <v>357</v>
      </c>
      <c r="H370" s="80"/>
      <c r="I370" s="229" t="str">
        <f t="shared" si="106"/>
        <v/>
      </c>
      <c r="J370" s="229" t="str">
        <f t="shared" si="107"/>
        <v/>
      </c>
      <c r="K370" s="229" t="str">
        <f t="shared" si="108"/>
        <v/>
      </c>
      <c r="L370" s="97" t="str">
        <f t="shared" si="109"/>
        <v/>
      </c>
      <c r="M370" s="80">
        <f t="shared" si="110"/>
        <v>357</v>
      </c>
      <c r="N370" s="80"/>
      <c r="O370" s="229" t="str">
        <f t="shared" si="111"/>
        <v/>
      </c>
      <c r="P370" s="229" t="str">
        <f t="shared" si="112"/>
        <v/>
      </c>
      <c r="Q370" s="229" t="str">
        <f t="shared" si="113"/>
        <v/>
      </c>
      <c r="R370" s="97" t="str">
        <f t="shared" si="114"/>
        <v/>
      </c>
      <c r="S370" s="80">
        <f t="shared" si="115"/>
        <v>357</v>
      </c>
      <c r="T370" s="80"/>
      <c r="U370" s="229" t="str">
        <f t="shared" si="116"/>
        <v/>
      </c>
      <c r="V370" s="229" t="str">
        <f t="shared" si="117"/>
        <v/>
      </c>
      <c r="W370" s="229" t="str">
        <f t="shared" si="118"/>
        <v/>
      </c>
      <c r="X370" s="97" t="str">
        <f t="shared" si="119"/>
        <v/>
      </c>
    </row>
    <row r="371" spans="1:24" x14ac:dyDescent="0.2">
      <c r="A371" s="80">
        <f t="shared" si="100"/>
        <v>358</v>
      </c>
      <c r="B371" s="80"/>
      <c r="C371" s="229" t="str">
        <f t="shared" si="101"/>
        <v/>
      </c>
      <c r="D371" s="229" t="str">
        <f t="shared" si="102"/>
        <v/>
      </c>
      <c r="E371" s="229" t="str">
        <f t="shared" si="103"/>
        <v/>
      </c>
      <c r="F371" s="97" t="str">
        <f t="shared" si="104"/>
        <v/>
      </c>
      <c r="G371" s="80">
        <f t="shared" si="105"/>
        <v>358</v>
      </c>
      <c r="H371" s="80"/>
      <c r="I371" s="229" t="str">
        <f t="shared" si="106"/>
        <v/>
      </c>
      <c r="J371" s="229" t="str">
        <f t="shared" si="107"/>
        <v/>
      </c>
      <c r="K371" s="229" t="str">
        <f t="shared" si="108"/>
        <v/>
      </c>
      <c r="L371" s="97" t="str">
        <f t="shared" si="109"/>
        <v/>
      </c>
      <c r="M371" s="80">
        <f t="shared" si="110"/>
        <v>358</v>
      </c>
      <c r="N371" s="80"/>
      <c r="O371" s="229" t="str">
        <f t="shared" si="111"/>
        <v/>
      </c>
      <c r="P371" s="229" t="str">
        <f t="shared" si="112"/>
        <v/>
      </c>
      <c r="Q371" s="229" t="str">
        <f t="shared" si="113"/>
        <v/>
      </c>
      <c r="R371" s="97" t="str">
        <f t="shared" si="114"/>
        <v/>
      </c>
      <c r="S371" s="80">
        <f t="shared" si="115"/>
        <v>358</v>
      </c>
      <c r="T371" s="80"/>
      <c r="U371" s="229" t="str">
        <f t="shared" si="116"/>
        <v/>
      </c>
      <c r="V371" s="229" t="str">
        <f t="shared" si="117"/>
        <v/>
      </c>
      <c r="W371" s="229" t="str">
        <f t="shared" si="118"/>
        <v/>
      </c>
      <c r="X371" s="97" t="str">
        <f t="shared" si="119"/>
        <v/>
      </c>
    </row>
    <row r="372" spans="1:24" x14ac:dyDescent="0.2">
      <c r="A372" s="80">
        <f t="shared" si="100"/>
        <v>359</v>
      </c>
      <c r="B372" s="80"/>
      <c r="C372" s="229" t="str">
        <f t="shared" si="101"/>
        <v/>
      </c>
      <c r="D372" s="229" t="str">
        <f t="shared" si="102"/>
        <v/>
      </c>
      <c r="E372" s="229" t="str">
        <f t="shared" si="103"/>
        <v/>
      </c>
      <c r="F372" s="97" t="str">
        <f t="shared" si="104"/>
        <v/>
      </c>
      <c r="G372" s="80">
        <f t="shared" si="105"/>
        <v>359</v>
      </c>
      <c r="H372" s="80"/>
      <c r="I372" s="229" t="str">
        <f t="shared" si="106"/>
        <v/>
      </c>
      <c r="J372" s="229" t="str">
        <f t="shared" si="107"/>
        <v/>
      </c>
      <c r="K372" s="229" t="str">
        <f t="shared" si="108"/>
        <v/>
      </c>
      <c r="L372" s="97" t="str">
        <f t="shared" si="109"/>
        <v/>
      </c>
      <c r="M372" s="80">
        <f t="shared" si="110"/>
        <v>359</v>
      </c>
      <c r="N372" s="80"/>
      <c r="O372" s="229" t="str">
        <f t="shared" si="111"/>
        <v/>
      </c>
      <c r="P372" s="229" t="str">
        <f t="shared" si="112"/>
        <v/>
      </c>
      <c r="Q372" s="229" t="str">
        <f t="shared" si="113"/>
        <v/>
      </c>
      <c r="R372" s="97" t="str">
        <f t="shared" si="114"/>
        <v/>
      </c>
      <c r="S372" s="80">
        <f t="shared" si="115"/>
        <v>359</v>
      </c>
      <c r="T372" s="80"/>
      <c r="U372" s="229" t="str">
        <f t="shared" si="116"/>
        <v/>
      </c>
      <c r="V372" s="229" t="str">
        <f t="shared" si="117"/>
        <v/>
      </c>
      <c r="W372" s="229" t="str">
        <f t="shared" si="118"/>
        <v/>
      </c>
      <c r="X372" s="97" t="str">
        <f t="shared" si="119"/>
        <v/>
      </c>
    </row>
    <row r="373" spans="1:24" x14ac:dyDescent="0.2">
      <c r="A373" s="80">
        <f t="shared" si="100"/>
        <v>360</v>
      </c>
      <c r="B373" s="80"/>
      <c r="C373" s="229" t="str">
        <f t="shared" si="101"/>
        <v/>
      </c>
      <c r="D373" s="229" t="str">
        <f t="shared" si="102"/>
        <v/>
      </c>
      <c r="E373" s="229" t="str">
        <f t="shared" si="103"/>
        <v/>
      </c>
      <c r="F373" s="97" t="str">
        <f t="shared" si="104"/>
        <v/>
      </c>
      <c r="G373" s="80">
        <f t="shared" si="105"/>
        <v>360</v>
      </c>
      <c r="H373" s="80"/>
      <c r="I373" s="229" t="str">
        <f t="shared" si="106"/>
        <v/>
      </c>
      <c r="J373" s="229" t="str">
        <f t="shared" si="107"/>
        <v/>
      </c>
      <c r="K373" s="229" t="str">
        <f t="shared" si="108"/>
        <v/>
      </c>
      <c r="L373" s="97" t="str">
        <f t="shared" si="109"/>
        <v/>
      </c>
      <c r="M373" s="80">
        <f t="shared" si="110"/>
        <v>360</v>
      </c>
      <c r="N373" s="80"/>
      <c r="O373" s="229" t="str">
        <f t="shared" si="111"/>
        <v/>
      </c>
      <c r="P373" s="229" t="str">
        <f t="shared" si="112"/>
        <v/>
      </c>
      <c r="Q373" s="229" t="str">
        <f t="shared" si="113"/>
        <v/>
      </c>
      <c r="R373" s="97" t="str">
        <f t="shared" si="114"/>
        <v/>
      </c>
      <c r="S373" s="80">
        <f t="shared" si="115"/>
        <v>360</v>
      </c>
      <c r="T373" s="80"/>
      <c r="U373" s="229" t="str">
        <f t="shared" si="116"/>
        <v/>
      </c>
      <c r="V373" s="229" t="str">
        <f t="shared" si="117"/>
        <v/>
      </c>
      <c r="W373" s="229" t="str">
        <f t="shared" si="118"/>
        <v/>
      </c>
      <c r="X373" s="97" t="str">
        <f t="shared" si="119"/>
        <v/>
      </c>
    </row>
    <row r="374" spans="1:24" x14ac:dyDescent="0.2">
      <c r="A374" s="80" t="str">
        <f t="shared" ref="A374:A437" si="120">IF(A373&lt;D$8*12,A373+1,"")</f>
        <v/>
      </c>
      <c r="B374" s="80"/>
      <c r="C374" s="229" t="str">
        <f t="shared" ref="C374:C437" si="121">IF(F373=0,"",IF($A374&lt;=D$8*12,C373,""))</f>
        <v/>
      </c>
      <c r="D374" s="229" t="str">
        <f t="shared" ref="D374:D437" si="122">IF(C374="","",C374-E374)</f>
        <v/>
      </c>
      <c r="E374" s="229" t="str">
        <f t="shared" ref="E374:E437" si="123">IF(C374="","",F373*D$7/12)</f>
        <v/>
      </c>
      <c r="F374" s="97" t="str">
        <f t="shared" ref="F374:F437" si="124">IF(D$6=0,"",IF($A374&gt;D$8*12,"",D$6+CUMPRINC(D$7/12,D$8*12,D$6,1,$A374,0)))</f>
        <v/>
      </c>
    </row>
    <row r="375" spans="1:24" x14ac:dyDescent="0.2">
      <c r="A375" s="80" t="str">
        <f t="shared" si="120"/>
        <v/>
      </c>
      <c r="B375" s="80"/>
      <c r="C375" s="229" t="str">
        <f t="shared" si="121"/>
        <v/>
      </c>
      <c r="D375" s="229" t="str">
        <f t="shared" si="122"/>
        <v/>
      </c>
      <c r="E375" s="229" t="str">
        <f t="shared" si="123"/>
        <v/>
      </c>
      <c r="F375" s="97" t="str">
        <f t="shared" si="124"/>
        <v/>
      </c>
    </row>
    <row r="376" spans="1:24" x14ac:dyDescent="0.2">
      <c r="A376" s="80" t="str">
        <f t="shared" si="120"/>
        <v/>
      </c>
      <c r="B376" s="80"/>
      <c r="C376" s="229" t="str">
        <f t="shared" si="121"/>
        <v/>
      </c>
      <c r="D376" s="229" t="str">
        <f t="shared" si="122"/>
        <v/>
      </c>
      <c r="E376" s="229" t="str">
        <f t="shared" si="123"/>
        <v/>
      </c>
      <c r="F376" s="97" t="str">
        <f t="shared" si="124"/>
        <v/>
      </c>
    </row>
    <row r="377" spans="1:24" x14ac:dyDescent="0.2">
      <c r="A377" s="80" t="str">
        <f t="shared" si="120"/>
        <v/>
      </c>
      <c r="B377" s="80"/>
      <c r="C377" s="229" t="str">
        <f t="shared" si="121"/>
        <v/>
      </c>
      <c r="D377" s="229" t="str">
        <f t="shared" si="122"/>
        <v/>
      </c>
      <c r="E377" s="229" t="str">
        <f t="shared" si="123"/>
        <v/>
      </c>
      <c r="F377" s="97" t="str">
        <f t="shared" si="124"/>
        <v/>
      </c>
    </row>
    <row r="378" spans="1:24" x14ac:dyDescent="0.2">
      <c r="A378" s="80" t="str">
        <f t="shared" si="120"/>
        <v/>
      </c>
      <c r="B378" s="80"/>
      <c r="C378" s="229" t="str">
        <f t="shared" si="121"/>
        <v/>
      </c>
      <c r="D378" s="229" t="str">
        <f t="shared" si="122"/>
        <v/>
      </c>
      <c r="E378" s="229" t="str">
        <f t="shared" si="123"/>
        <v/>
      </c>
      <c r="F378" s="97" t="str">
        <f t="shared" si="124"/>
        <v/>
      </c>
    </row>
    <row r="379" spans="1:24" x14ac:dyDescent="0.2">
      <c r="A379" s="80" t="str">
        <f t="shared" si="120"/>
        <v/>
      </c>
      <c r="B379" s="80"/>
      <c r="C379" s="229" t="str">
        <f t="shared" si="121"/>
        <v/>
      </c>
      <c r="D379" s="229" t="str">
        <f t="shared" si="122"/>
        <v/>
      </c>
      <c r="E379" s="229" t="str">
        <f t="shared" si="123"/>
        <v/>
      </c>
      <c r="F379" s="97" t="str">
        <f t="shared" si="124"/>
        <v/>
      </c>
    </row>
    <row r="380" spans="1:24" x14ac:dyDescent="0.2">
      <c r="A380" s="80" t="str">
        <f t="shared" si="120"/>
        <v/>
      </c>
      <c r="B380" s="80"/>
      <c r="C380" s="229" t="str">
        <f t="shared" si="121"/>
        <v/>
      </c>
      <c r="D380" s="229" t="str">
        <f t="shared" si="122"/>
        <v/>
      </c>
      <c r="E380" s="229" t="str">
        <f t="shared" si="123"/>
        <v/>
      </c>
      <c r="F380" s="97" t="str">
        <f t="shared" si="124"/>
        <v/>
      </c>
    </row>
    <row r="381" spans="1:24" x14ac:dyDescent="0.2">
      <c r="A381" s="80" t="str">
        <f t="shared" si="120"/>
        <v/>
      </c>
      <c r="B381" s="80"/>
      <c r="C381" s="229" t="str">
        <f t="shared" si="121"/>
        <v/>
      </c>
      <c r="D381" s="229" t="str">
        <f t="shared" si="122"/>
        <v/>
      </c>
      <c r="E381" s="229" t="str">
        <f t="shared" si="123"/>
        <v/>
      </c>
      <c r="F381" s="97" t="str">
        <f t="shared" si="124"/>
        <v/>
      </c>
    </row>
    <row r="382" spans="1:24" x14ac:dyDescent="0.2">
      <c r="A382" s="80" t="str">
        <f t="shared" si="120"/>
        <v/>
      </c>
      <c r="B382" s="80"/>
      <c r="C382" s="229" t="str">
        <f t="shared" si="121"/>
        <v/>
      </c>
      <c r="D382" s="229" t="str">
        <f t="shared" si="122"/>
        <v/>
      </c>
      <c r="E382" s="229" t="str">
        <f t="shared" si="123"/>
        <v/>
      </c>
      <c r="F382" s="97" t="str">
        <f t="shared" si="124"/>
        <v/>
      </c>
    </row>
    <row r="383" spans="1:24" x14ac:dyDescent="0.2">
      <c r="A383" s="80" t="str">
        <f t="shared" si="120"/>
        <v/>
      </c>
      <c r="B383" s="80"/>
      <c r="C383" s="229" t="str">
        <f t="shared" si="121"/>
        <v/>
      </c>
      <c r="D383" s="229" t="str">
        <f t="shared" si="122"/>
        <v/>
      </c>
      <c r="E383" s="229" t="str">
        <f t="shared" si="123"/>
        <v/>
      </c>
      <c r="F383" s="97" t="str">
        <f t="shared" si="124"/>
        <v/>
      </c>
    </row>
    <row r="384" spans="1:24" x14ac:dyDescent="0.2">
      <c r="A384" s="80" t="str">
        <f t="shared" si="120"/>
        <v/>
      </c>
      <c r="B384" s="80"/>
      <c r="C384" s="229" t="str">
        <f t="shared" si="121"/>
        <v/>
      </c>
      <c r="D384" s="229" t="str">
        <f t="shared" si="122"/>
        <v/>
      </c>
      <c r="E384" s="229" t="str">
        <f t="shared" si="123"/>
        <v/>
      </c>
      <c r="F384" s="97" t="str">
        <f t="shared" si="124"/>
        <v/>
      </c>
    </row>
    <row r="385" spans="1:6" x14ac:dyDescent="0.2">
      <c r="A385" s="80" t="str">
        <f t="shared" si="120"/>
        <v/>
      </c>
      <c r="B385" s="80"/>
      <c r="C385" s="229" t="str">
        <f t="shared" si="121"/>
        <v/>
      </c>
      <c r="D385" s="229" t="str">
        <f t="shared" si="122"/>
        <v/>
      </c>
      <c r="E385" s="229" t="str">
        <f t="shared" si="123"/>
        <v/>
      </c>
      <c r="F385" s="97" t="str">
        <f t="shared" si="124"/>
        <v/>
      </c>
    </row>
    <row r="386" spans="1:6" x14ac:dyDescent="0.2">
      <c r="A386" s="80" t="str">
        <f t="shared" si="120"/>
        <v/>
      </c>
      <c r="B386" s="80"/>
      <c r="C386" s="229" t="str">
        <f t="shared" si="121"/>
        <v/>
      </c>
      <c r="D386" s="229" t="str">
        <f t="shared" si="122"/>
        <v/>
      </c>
      <c r="E386" s="229" t="str">
        <f t="shared" si="123"/>
        <v/>
      </c>
      <c r="F386" s="97" t="str">
        <f t="shared" si="124"/>
        <v/>
      </c>
    </row>
    <row r="387" spans="1:6" x14ac:dyDescent="0.2">
      <c r="A387" s="80" t="str">
        <f t="shared" si="120"/>
        <v/>
      </c>
      <c r="B387" s="80"/>
      <c r="C387" s="229" t="str">
        <f t="shared" si="121"/>
        <v/>
      </c>
      <c r="D387" s="229" t="str">
        <f t="shared" si="122"/>
        <v/>
      </c>
      <c r="E387" s="229" t="str">
        <f t="shared" si="123"/>
        <v/>
      </c>
      <c r="F387" s="97" t="str">
        <f t="shared" si="124"/>
        <v/>
      </c>
    </row>
    <row r="388" spans="1:6" x14ac:dyDescent="0.2">
      <c r="A388" s="80" t="str">
        <f t="shared" si="120"/>
        <v/>
      </c>
      <c r="B388" s="80"/>
      <c r="C388" s="229" t="str">
        <f t="shared" si="121"/>
        <v/>
      </c>
      <c r="D388" s="229" t="str">
        <f t="shared" si="122"/>
        <v/>
      </c>
      <c r="E388" s="229" t="str">
        <f t="shared" si="123"/>
        <v/>
      </c>
      <c r="F388" s="97" t="str">
        <f t="shared" si="124"/>
        <v/>
      </c>
    </row>
    <row r="389" spans="1:6" x14ac:dyDescent="0.2">
      <c r="A389" s="80" t="str">
        <f t="shared" si="120"/>
        <v/>
      </c>
      <c r="B389" s="80"/>
      <c r="C389" s="229" t="str">
        <f t="shared" si="121"/>
        <v/>
      </c>
      <c r="D389" s="229" t="str">
        <f t="shared" si="122"/>
        <v/>
      </c>
      <c r="E389" s="229" t="str">
        <f t="shared" si="123"/>
        <v/>
      </c>
      <c r="F389" s="97" t="str">
        <f t="shared" si="124"/>
        <v/>
      </c>
    </row>
    <row r="390" spans="1:6" x14ac:dyDescent="0.2">
      <c r="A390" s="80" t="str">
        <f t="shared" si="120"/>
        <v/>
      </c>
      <c r="B390" s="80"/>
      <c r="C390" s="229" t="str">
        <f t="shared" si="121"/>
        <v/>
      </c>
      <c r="D390" s="229" t="str">
        <f t="shared" si="122"/>
        <v/>
      </c>
      <c r="E390" s="229" t="str">
        <f t="shared" si="123"/>
        <v/>
      </c>
      <c r="F390" s="97" t="str">
        <f t="shared" si="124"/>
        <v/>
      </c>
    </row>
    <row r="391" spans="1:6" x14ac:dyDescent="0.2">
      <c r="A391" s="80" t="str">
        <f t="shared" si="120"/>
        <v/>
      </c>
      <c r="B391" s="80"/>
      <c r="C391" s="229" t="str">
        <f t="shared" si="121"/>
        <v/>
      </c>
      <c r="D391" s="229" t="str">
        <f t="shared" si="122"/>
        <v/>
      </c>
      <c r="E391" s="229" t="str">
        <f t="shared" si="123"/>
        <v/>
      </c>
      <c r="F391" s="97" t="str">
        <f t="shared" si="124"/>
        <v/>
      </c>
    </row>
    <row r="392" spans="1:6" x14ac:dyDescent="0.2">
      <c r="A392" s="80" t="str">
        <f t="shared" si="120"/>
        <v/>
      </c>
      <c r="B392" s="80"/>
      <c r="C392" s="229" t="str">
        <f t="shared" si="121"/>
        <v/>
      </c>
      <c r="D392" s="229" t="str">
        <f t="shared" si="122"/>
        <v/>
      </c>
      <c r="E392" s="229" t="str">
        <f t="shared" si="123"/>
        <v/>
      </c>
      <c r="F392" s="97" t="str">
        <f t="shared" si="124"/>
        <v/>
      </c>
    </row>
    <row r="393" spans="1:6" x14ac:dyDescent="0.2">
      <c r="A393" s="80" t="str">
        <f t="shared" si="120"/>
        <v/>
      </c>
      <c r="B393" s="80"/>
      <c r="C393" s="229" t="str">
        <f t="shared" si="121"/>
        <v/>
      </c>
      <c r="D393" s="229" t="str">
        <f t="shared" si="122"/>
        <v/>
      </c>
      <c r="E393" s="229" t="str">
        <f t="shared" si="123"/>
        <v/>
      </c>
      <c r="F393" s="97" t="str">
        <f t="shared" si="124"/>
        <v/>
      </c>
    </row>
    <row r="394" spans="1:6" x14ac:dyDescent="0.2">
      <c r="A394" s="80" t="str">
        <f t="shared" si="120"/>
        <v/>
      </c>
      <c r="B394" s="80"/>
      <c r="C394" s="229" t="str">
        <f t="shared" si="121"/>
        <v/>
      </c>
      <c r="D394" s="229" t="str">
        <f t="shared" si="122"/>
        <v/>
      </c>
      <c r="E394" s="229" t="str">
        <f t="shared" si="123"/>
        <v/>
      </c>
      <c r="F394" s="97" t="str">
        <f t="shared" si="124"/>
        <v/>
      </c>
    </row>
    <row r="395" spans="1:6" x14ac:dyDescent="0.2">
      <c r="A395" s="80" t="str">
        <f t="shared" si="120"/>
        <v/>
      </c>
      <c r="B395" s="80"/>
      <c r="C395" s="229" t="str">
        <f t="shared" si="121"/>
        <v/>
      </c>
      <c r="D395" s="229" t="str">
        <f t="shared" si="122"/>
        <v/>
      </c>
      <c r="E395" s="229" t="str">
        <f t="shared" si="123"/>
        <v/>
      </c>
      <c r="F395" s="97" t="str">
        <f t="shared" si="124"/>
        <v/>
      </c>
    </row>
    <row r="396" spans="1:6" x14ac:dyDescent="0.2">
      <c r="A396" s="80" t="str">
        <f t="shared" si="120"/>
        <v/>
      </c>
      <c r="B396" s="80"/>
      <c r="C396" s="229" t="str">
        <f t="shared" si="121"/>
        <v/>
      </c>
      <c r="D396" s="229" t="str">
        <f t="shared" si="122"/>
        <v/>
      </c>
      <c r="E396" s="229" t="str">
        <f t="shared" si="123"/>
        <v/>
      </c>
      <c r="F396" s="97" t="str">
        <f t="shared" si="124"/>
        <v/>
      </c>
    </row>
    <row r="397" spans="1:6" x14ac:dyDescent="0.2">
      <c r="A397" s="80" t="str">
        <f t="shared" si="120"/>
        <v/>
      </c>
      <c r="B397" s="80"/>
      <c r="C397" s="229" t="str">
        <f t="shared" si="121"/>
        <v/>
      </c>
      <c r="D397" s="229" t="str">
        <f t="shared" si="122"/>
        <v/>
      </c>
      <c r="E397" s="229" t="str">
        <f t="shared" si="123"/>
        <v/>
      </c>
      <c r="F397" s="97" t="str">
        <f t="shared" si="124"/>
        <v/>
      </c>
    </row>
    <row r="398" spans="1:6" x14ac:dyDescent="0.2">
      <c r="A398" s="80" t="str">
        <f t="shared" si="120"/>
        <v/>
      </c>
      <c r="B398" s="80"/>
      <c r="C398" s="229" t="str">
        <f t="shared" si="121"/>
        <v/>
      </c>
      <c r="D398" s="229" t="str">
        <f t="shared" si="122"/>
        <v/>
      </c>
      <c r="E398" s="229" t="str">
        <f t="shared" si="123"/>
        <v/>
      </c>
      <c r="F398" s="97" t="str">
        <f t="shared" si="124"/>
        <v/>
      </c>
    </row>
    <row r="399" spans="1:6" x14ac:dyDescent="0.2">
      <c r="A399" s="80" t="str">
        <f t="shared" si="120"/>
        <v/>
      </c>
      <c r="B399" s="80"/>
      <c r="C399" s="229" t="str">
        <f t="shared" si="121"/>
        <v/>
      </c>
      <c r="D399" s="229" t="str">
        <f t="shared" si="122"/>
        <v/>
      </c>
      <c r="E399" s="229" t="str">
        <f t="shared" si="123"/>
        <v/>
      </c>
      <c r="F399" s="97" t="str">
        <f t="shared" si="124"/>
        <v/>
      </c>
    </row>
    <row r="400" spans="1:6" x14ac:dyDescent="0.2">
      <c r="A400" s="80" t="str">
        <f t="shared" si="120"/>
        <v/>
      </c>
      <c r="B400" s="80"/>
      <c r="C400" s="229" t="str">
        <f t="shared" si="121"/>
        <v/>
      </c>
      <c r="D400" s="229" t="str">
        <f t="shared" si="122"/>
        <v/>
      </c>
      <c r="E400" s="229" t="str">
        <f t="shared" si="123"/>
        <v/>
      </c>
      <c r="F400" s="97" t="str">
        <f t="shared" si="124"/>
        <v/>
      </c>
    </row>
    <row r="401" spans="1:6" x14ac:dyDescent="0.2">
      <c r="A401" s="80" t="str">
        <f t="shared" si="120"/>
        <v/>
      </c>
      <c r="B401" s="80"/>
      <c r="C401" s="229" t="str">
        <f t="shared" si="121"/>
        <v/>
      </c>
      <c r="D401" s="229" t="str">
        <f t="shared" si="122"/>
        <v/>
      </c>
      <c r="E401" s="229" t="str">
        <f t="shared" si="123"/>
        <v/>
      </c>
      <c r="F401" s="97" t="str">
        <f t="shared" si="124"/>
        <v/>
      </c>
    </row>
    <row r="402" spans="1:6" x14ac:dyDescent="0.2">
      <c r="A402" s="80" t="str">
        <f t="shared" si="120"/>
        <v/>
      </c>
      <c r="B402" s="80"/>
      <c r="C402" s="229" t="str">
        <f t="shared" si="121"/>
        <v/>
      </c>
      <c r="D402" s="229" t="str">
        <f t="shared" si="122"/>
        <v/>
      </c>
      <c r="E402" s="229" t="str">
        <f t="shared" si="123"/>
        <v/>
      </c>
      <c r="F402" s="97" t="str">
        <f t="shared" si="124"/>
        <v/>
      </c>
    </row>
    <row r="403" spans="1:6" x14ac:dyDescent="0.2">
      <c r="A403" s="80" t="str">
        <f t="shared" si="120"/>
        <v/>
      </c>
      <c r="B403" s="80"/>
      <c r="C403" s="229" t="str">
        <f t="shared" si="121"/>
        <v/>
      </c>
      <c r="D403" s="229" t="str">
        <f t="shared" si="122"/>
        <v/>
      </c>
      <c r="E403" s="229" t="str">
        <f t="shared" si="123"/>
        <v/>
      </c>
      <c r="F403" s="97" t="str">
        <f t="shared" si="124"/>
        <v/>
      </c>
    </row>
    <row r="404" spans="1:6" x14ac:dyDescent="0.2">
      <c r="A404" s="80" t="str">
        <f t="shared" si="120"/>
        <v/>
      </c>
      <c r="B404" s="80"/>
      <c r="C404" s="229" t="str">
        <f t="shared" si="121"/>
        <v/>
      </c>
      <c r="D404" s="229" t="str">
        <f t="shared" si="122"/>
        <v/>
      </c>
      <c r="E404" s="229" t="str">
        <f t="shared" si="123"/>
        <v/>
      </c>
      <c r="F404" s="97" t="str">
        <f t="shared" si="124"/>
        <v/>
      </c>
    </row>
    <row r="405" spans="1:6" x14ac:dyDescent="0.2">
      <c r="A405" s="80" t="str">
        <f t="shared" si="120"/>
        <v/>
      </c>
      <c r="B405" s="80"/>
      <c r="C405" s="229" t="str">
        <f t="shared" si="121"/>
        <v/>
      </c>
      <c r="D405" s="229" t="str">
        <f t="shared" si="122"/>
        <v/>
      </c>
      <c r="E405" s="229" t="str">
        <f t="shared" si="123"/>
        <v/>
      </c>
      <c r="F405" s="97" t="str">
        <f t="shared" si="124"/>
        <v/>
      </c>
    </row>
    <row r="406" spans="1:6" x14ac:dyDescent="0.2">
      <c r="A406" s="80" t="str">
        <f t="shared" si="120"/>
        <v/>
      </c>
      <c r="B406" s="80"/>
      <c r="C406" s="229" t="str">
        <f t="shared" si="121"/>
        <v/>
      </c>
      <c r="D406" s="229" t="str">
        <f t="shared" si="122"/>
        <v/>
      </c>
      <c r="E406" s="229" t="str">
        <f t="shared" si="123"/>
        <v/>
      </c>
      <c r="F406" s="97" t="str">
        <f t="shared" si="124"/>
        <v/>
      </c>
    </row>
    <row r="407" spans="1:6" x14ac:dyDescent="0.2">
      <c r="A407" s="80" t="str">
        <f t="shared" si="120"/>
        <v/>
      </c>
      <c r="B407" s="80"/>
      <c r="C407" s="229" t="str">
        <f t="shared" si="121"/>
        <v/>
      </c>
      <c r="D407" s="229" t="str">
        <f t="shared" si="122"/>
        <v/>
      </c>
      <c r="E407" s="229" t="str">
        <f t="shared" si="123"/>
        <v/>
      </c>
      <c r="F407" s="97" t="str">
        <f t="shared" si="124"/>
        <v/>
      </c>
    </row>
    <row r="408" spans="1:6" x14ac:dyDescent="0.2">
      <c r="A408" s="80" t="str">
        <f t="shared" si="120"/>
        <v/>
      </c>
      <c r="B408" s="80"/>
      <c r="C408" s="229" t="str">
        <f t="shared" si="121"/>
        <v/>
      </c>
      <c r="D408" s="229" t="str">
        <f t="shared" si="122"/>
        <v/>
      </c>
      <c r="E408" s="229" t="str">
        <f t="shared" si="123"/>
        <v/>
      </c>
      <c r="F408" s="97" t="str">
        <f t="shared" si="124"/>
        <v/>
      </c>
    </row>
    <row r="409" spans="1:6" x14ac:dyDescent="0.2">
      <c r="A409" s="80" t="str">
        <f t="shared" si="120"/>
        <v/>
      </c>
      <c r="B409" s="80"/>
      <c r="C409" s="229" t="str">
        <f t="shared" si="121"/>
        <v/>
      </c>
      <c r="D409" s="229" t="str">
        <f t="shared" si="122"/>
        <v/>
      </c>
      <c r="E409" s="229" t="str">
        <f t="shared" si="123"/>
        <v/>
      </c>
      <c r="F409" s="97" t="str">
        <f t="shared" si="124"/>
        <v/>
      </c>
    </row>
    <row r="410" spans="1:6" x14ac:dyDescent="0.2">
      <c r="A410" s="80" t="str">
        <f t="shared" si="120"/>
        <v/>
      </c>
      <c r="B410" s="80"/>
      <c r="C410" s="229" t="str">
        <f t="shared" si="121"/>
        <v/>
      </c>
      <c r="D410" s="229" t="str">
        <f t="shared" si="122"/>
        <v/>
      </c>
      <c r="E410" s="229" t="str">
        <f t="shared" si="123"/>
        <v/>
      </c>
      <c r="F410" s="97" t="str">
        <f t="shared" si="124"/>
        <v/>
      </c>
    </row>
    <row r="411" spans="1:6" x14ac:dyDescent="0.2">
      <c r="A411" s="80" t="str">
        <f t="shared" si="120"/>
        <v/>
      </c>
      <c r="B411" s="80"/>
      <c r="C411" s="229" t="str">
        <f t="shared" si="121"/>
        <v/>
      </c>
      <c r="D411" s="229" t="str">
        <f t="shared" si="122"/>
        <v/>
      </c>
      <c r="E411" s="229" t="str">
        <f t="shared" si="123"/>
        <v/>
      </c>
      <c r="F411" s="97" t="str">
        <f t="shared" si="124"/>
        <v/>
      </c>
    </row>
    <row r="412" spans="1:6" x14ac:dyDescent="0.2">
      <c r="A412" s="80" t="str">
        <f t="shared" si="120"/>
        <v/>
      </c>
      <c r="B412" s="80"/>
      <c r="C412" s="229" t="str">
        <f t="shared" si="121"/>
        <v/>
      </c>
      <c r="D412" s="229" t="str">
        <f t="shared" si="122"/>
        <v/>
      </c>
      <c r="E412" s="229" t="str">
        <f t="shared" si="123"/>
        <v/>
      </c>
      <c r="F412" s="97" t="str">
        <f t="shared" si="124"/>
        <v/>
      </c>
    </row>
    <row r="413" spans="1:6" x14ac:dyDescent="0.2">
      <c r="A413" s="80" t="str">
        <f t="shared" si="120"/>
        <v/>
      </c>
      <c r="B413" s="80"/>
      <c r="C413" s="229" t="str">
        <f t="shared" si="121"/>
        <v/>
      </c>
      <c r="D413" s="229" t="str">
        <f t="shared" si="122"/>
        <v/>
      </c>
      <c r="E413" s="229" t="str">
        <f t="shared" si="123"/>
        <v/>
      </c>
      <c r="F413" s="97" t="str">
        <f t="shared" si="124"/>
        <v/>
      </c>
    </row>
    <row r="414" spans="1:6" x14ac:dyDescent="0.2">
      <c r="A414" s="80" t="str">
        <f t="shared" si="120"/>
        <v/>
      </c>
      <c r="B414" s="80"/>
      <c r="C414" s="229" t="str">
        <f t="shared" si="121"/>
        <v/>
      </c>
      <c r="D414" s="229" t="str">
        <f t="shared" si="122"/>
        <v/>
      </c>
      <c r="E414" s="229" t="str">
        <f t="shared" si="123"/>
        <v/>
      </c>
      <c r="F414" s="97" t="str">
        <f t="shared" si="124"/>
        <v/>
      </c>
    </row>
    <row r="415" spans="1:6" x14ac:dyDescent="0.2">
      <c r="A415" s="80" t="str">
        <f t="shared" si="120"/>
        <v/>
      </c>
      <c r="B415" s="80"/>
      <c r="C415" s="229" t="str">
        <f t="shared" si="121"/>
        <v/>
      </c>
      <c r="D415" s="229" t="str">
        <f t="shared" si="122"/>
        <v/>
      </c>
      <c r="E415" s="229" t="str">
        <f t="shared" si="123"/>
        <v/>
      </c>
      <c r="F415" s="97" t="str">
        <f t="shared" si="124"/>
        <v/>
      </c>
    </row>
    <row r="416" spans="1:6" x14ac:dyDescent="0.2">
      <c r="A416" s="80" t="str">
        <f t="shared" si="120"/>
        <v/>
      </c>
      <c r="B416" s="80"/>
      <c r="C416" s="229" t="str">
        <f t="shared" si="121"/>
        <v/>
      </c>
      <c r="D416" s="229" t="str">
        <f t="shared" si="122"/>
        <v/>
      </c>
      <c r="E416" s="229" t="str">
        <f t="shared" si="123"/>
        <v/>
      </c>
      <c r="F416" s="97" t="str">
        <f t="shared" si="124"/>
        <v/>
      </c>
    </row>
    <row r="417" spans="1:6" x14ac:dyDescent="0.2">
      <c r="A417" s="80" t="str">
        <f t="shared" si="120"/>
        <v/>
      </c>
      <c r="B417" s="80"/>
      <c r="C417" s="229" t="str">
        <f t="shared" si="121"/>
        <v/>
      </c>
      <c r="D417" s="229" t="str">
        <f t="shared" si="122"/>
        <v/>
      </c>
      <c r="E417" s="229" t="str">
        <f t="shared" si="123"/>
        <v/>
      </c>
      <c r="F417" s="97" t="str">
        <f t="shared" si="124"/>
        <v/>
      </c>
    </row>
    <row r="418" spans="1:6" x14ac:dyDescent="0.2">
      <c r="A418" s="80" t="str">
        <f t="shared" si="120"/>
        <v/>
      </c>
      <c r="B418" s="80"/>
      <c r="C418" s="229" t="str">
        <f t="shared" si="121"/>
        <v/>
      </c>
      <c r="D418" s="229" t="str">
        <f t="shared" si="122"/>
        <v/>
      </c>
      <c r="E418" s="229" t="str">
        <f t="shared" si="123"/>
        <v/>
      </c>
      <c r="F418" s="97" t="str">
        <f t="shared" si="124"/>
        <v/>
      </c>
    </row>
    <row r="419" spans="1:6" x14ac:dyDescent="0.2">
      <c r="A419" s="80" t="str">
        <f t="shared" si="120"/>
        <v/>
      </c>
      <c r="B419" s="80"/>
      <c r="C419" s="229" t="str">
        <f t="shared" si="121"/>
        <v/>
      </c>
      <c r="D419" s="229" t="str">
        <f t="shared" si="122"/>
        <v/>
      </c>
      <c r="E419" s="229" t="str">
        <f t="shared" si="123"/>
        <v/>
      </c>
      <c r="F419" s="97" t="str">
        <f t="shared" si="124"/>
        <v/>
      </c>
    </row>
    <row r="420" spans="1:6" x14ac:dyDescent="0.2">
      <c r="A420" s="80" t="str">
        <f t="shared" si="120"/>
        <v/>
      </c>
      <c r="B420" s="80"/>
      <c r="C420" s="229" t="str">
        <f t="shared" si="121"/>
        <v/>
      </c>
      <c r="D420" s="229" t="str">
        <f t="shared" si="122"/>
        <v/>
      </c>
      <c r="E420" s="229" t="str">
        <f t="shared" si="123"/>
        <v/>
      </c>
      <c r="F420" s="97" t="str">
        <f t="shared" si="124"/>
        <v/>
      </c>
    </row>
    <row r="421" spans="1:6" x14ac:dyDescent="0.2">
      <c r="A421" s="80" t="str">
        <f t="shared" si="120"/>
        <v/>
      </c>
      <c r="B421" s="80"/>
      <c r="C421" s="229" t="str">
        <f t="shared" si="121"/>
        <v/>
      </c>
      <c r="D421" s="229" t="str">
        <f t="shared" si="122"/>
        <v/>
      </c>
      <c r="E421" s="229" t="str">
        <f t="shared" si="123"/>
        <v/>
      </c>
      <c r="F421" s="97" t="str">
        <f t="shared" si="124"/>
        <v/>
      </c>
    </row>
    <row r="422" spans="1:6" x14ac:dyDescent="0.2">
      <c r="A422" s="80" t="str">
        <f t="shared" si="120"/>
        <v/>
      </c>
      <c r="B422" s="80"/>
      <c r="C422" s="229" t="str">
        <f t="shared" si="121"/>
        <v/>
      </c>
      <c r="D422" s="229" t="str">
        <f t="shared" si="122"/>
        <v/>
      </c>
      <c r="E422" s="229" t="str">
        <f t="shared" si="123"/>
        <v/>
      </c>
      <c r="F422" s="97" t="str">
        <f t="shared" si="124"/>
        <v/>
      </c>
    </row>
    <row r="423" spans="1:6" x14ac:dyDescent="0.2">
      <c r="A423" s="80" t="str">
        <f t="shared" si="120"/>
        <v/>
      </c>
      <c r="B423" s="80"/>
      <c r="C423" s="229" t="str">
        <f t="shared" si="121"/>
        <v/>
      </c>
      <c r="D423" s="229" t="str">
        <f t="shared" si="122"/>
        <v/>
      </c>
      <c r="E423" s="229" t="str">
        <f t="shared" si="123"/>
        <v/>
      </c>
      <c r="F423" s="97" t="str">
        <f t="shared" si="124"/>
        <v/>
      </c>
    </row>
    <row r="424" spans="1:6" x14ac:dyDescent="0.2">
      <c r="A424" s="80" t="str">
        <f t="shared" si="120"/>
        <v/>
      </c>
      <c r="B424" s="80"/>
      <c r="C424" s="229" t="str">
        <f t="shared" si="121"/>
        <v/>
      </c>
      <c r="D424" s="229" t="str">
        <f t="shared" si="122"/>
        <v/>
      </c>
      <c r="E424" s="229" t="str">
        <f t="shared" si="123"/>
        <v/>
      </c>
      <c r="F424" s="97" t="str">
        <f t="shared" si="124"/>
        <v/>
      </c>
    </row>
    <row r="425" spans="1:6" x14ac:dyDescent="0.2">
      <c r="A425" s="80" t="str">
        <f t="shared" si="120"/>
        <v/>
      </c>
      <c r="B425" s="80"/>
      <c r="C425" s="229" t="str">
        <f t="shared" si="121"/>
        <v/>
      </c>
      <c r="D425" s="229" t="str">
        <f t="shared" si="122"/>
        <v/>
      </c>
      <c r="E425" s="229" t="str">
        <f t="shared" si="123"/>
        <v/>
      </c>
      <c r="F425" s="97" t="str">
        <f t="shared" si="124"/>
        <v/>
      </c>
    </row>
    <row r="426" spans="1:6" x14ac:dyDescent="0.2">
      <c r="A426" s="80" t="str">
        <f t="shared" si="120"/>
        <v/>
      </c>
      <c r="B426" s="80"/>
      <c r="C426" s="229" t="str">
        <f t="shared" si="121"/>
        <v/>
      </c>
      <c r="D426" s="229" t="str">
        <f t="shared" si="122"/>
        <v/>
      </c>
      <c r="E426" s="229" t="str">
        <f t="shared" si="123"/>
        <v/>
      </c>
      <c r="F426" s="97" t="str">
        <f t="shared" si="124"/>
        <v/>
      </c>
    </row>
    <row r="427" spans="1:6" x14ac:dyDescent="0.2">
      <c r="A427" s="80" t="str">
        <f t="shared" si="120"/>
        <v/>
      </c>
      <c r="B427" s="80"/>
      <c r="C427" s="229" t="str">
        <f t="shared" si="121"/>
        <v/>
      </c>
      <c r="D427" s="229" t="str">
        <f t="shared" si="122"/>
        <v/>
      </c>
      <c r="E427" s="229" t="str">
        <f t="shared" si="123"/>
        <v/>
      </c>
      <c r="F427" s="97" t="str">
        <f t="shared" si="124"/>
        <v/>
      </c>
    </row>
    <row r="428" spans="1:6" x14ac:dyDescent="0.2">
      <c r="A428" s="80" t="str">
        <f t="shared" si="120"/>
        <v/>
      </c>
      <c r="B428" s="80"/>
      <c r="C428" s="229" t="str">
        <f t="shared" si="121"/>
        <v/>
      </c>
      <c r="D428" s="229" t="str">
        <f t="shared" si="122"/>
        <v/>
      </c>
      <c r="E428" s="229" t="str">
        <f t="shared" si="123"/>
        <v/>
      </c>
      <c r="F428" s="97" t="str">
        <f t="shared" si="124"/>
        <v/>
      </c>
    </row>
    <row r="429" spans="1:6" x14ac:dyDescent="0.2">
      <c r="A429" s="80" t="str">
        <f t="shared" si="120"/>
        <v/>
      </c>
      <c r="B429" s="80"/>
      <c r="C429" s="229" t="str">
        <f t="shared" si="121"/>
        <v/>
      </c>
      <c r="D429" s="229" t="str">
        <f t="shared" si="122"/>
        <v/>
      </c>
      <c r="E429" s="229" t="str">
        <f t="shared" si="123"/>
        <v/>
      </c>
      <c r="F429" s="97" t="str">
        <f t="shared" si="124"/>
        <v/>
      </c>
    </row>
    <row r="430" spans="1:6" x14ac:dyDescent="0.2">
      <c r="A430" s="80" t="str">
        <f t="shared" si="120"/>
        <v/>
      </c>
      <c r="B430" s="80"/>
      <c r="C430" s="229" t="str">
        <f t="shared" si="121"/>
        <v/>
      </c>
      <c r="D430" s="229" t="str">
        <f t="shared" si="122"/>
        <v/>
      </c>
      <c r="E430" s="229" t="str">
        <f t="shared" si="123"/>
        <v/>
      </c>
      <c r="F430" s="97" t="str">
        <f t="shared" si="124"/>
        <v/>
      </c>
    </row>
    <row r="431" spans="1:6" x14ac:dyDescent="0.2">
      <c r="A431" s="80" t="str">
        <f t="shared" si="120"/>
        <v/>
      </c>
      <c r="B431" s="80"/>
      <c r="C431" s="229" t="str">
        <f t="shared" si="121"/>
        <v/>
      </c>
      <c r="D431" s="229" t="str">
        <f t="shared" si="122"/>
        <v/>
      </c>
      <c r="E431" s="229" t="str">
        <f t="shared" si="123"/>
        <v/>
      </c>
      <c r="F431" s="97" t="str">
        <f t="shared" si="124"/>
        <v/>
      </c>
    </row>
    <row r="432" spans="1:6" x14ac:dyDescent="0.2">
      <c r="A432" s="80" t="str">
        <f t="shared" si="120"/>
        <v/>
      </c>
      <c r="B432" s="80"/>
      <c r="C432" s="229" t="str">
        <f t="shared" si="121"/>
        <v/>
      </c>
      <c r="D432" s="229" t="str">
        <f t="shared" si="122"/>
        <v/>
      </c>
      <c r="E432" s="229" t="str">
        <f t="shared" si="123"/>
        <v/>
      </c>
      <c r="F432" s="97" t="str">
        <f t="shared" si="124"/>
        <v/>
      </c>
    </row>
    <row r="433" spans="1:6" x14ac:dyDescent="0.2">
      <c r="A433" s="80" t="str">
        <f t="shared" si="120"/>
        <v/>
      </c>
      <c r="B433" s="80"/>
      <c r="C433" s="229" t="str">
        <f t="shared" si="121"/>
        <v/>
      </c>
      <c r="D433" s="229" t="str">
        <f t="shared" si="122"/>
        <v/>
      </c>
      <c r="E433" s="229" t="str">
        <f t="shared" si="123"/>
        <v/>
      </c>
      <c r="F433" s="97" t="str">
        <f t="shared" si="124"/>
        <v/>
      </c>
    </row>
    <row r="434" spans="1:6" x14ac:dyDescent="0.2">
      <c r="A434" s="80" t="str">
        <f t="shared" si="120"/>
        <v/>
      </c>
      <c r="B434" s="80"/>
      <c r="C434" s="229" t="str">
        <f t="shared" si="121"/>
        <v/>
      </c>
      <c r="D434" s="229" t="str">
        <f t="shared" si="122"/>
        <v/>
      </c>
      <c r="E434" s="229" t="str">
        <f t="shared" si="123"/>
        <v/>
      </c>
      <c r="F434" s="97" t="str">
        <f t="shared" si="124"/>
        <v/>
      </c>
    </row>
    <row r="435" spans="1:6" x14ac:dyDescent="0.2">
      <c r="A435" s="80" t="str">
        <f t="shared" si="120"/>
        <v/>
      </c>
      <c r="B435" s="80"/>
      <c r="C435" s="229" t="str">
        <f t="shared" si="121"/>
        <v/>
      </c>
      <c r="D435" s="229" t="str">
        <f t="shared" si="122"/>
        <v/>
      </c>
      <c r="E435" s="229" t="str">
        <f t="shared" si="123"/>
        <v/>
      </c>
      <c r="F435" s="97" t="str">
        <f t="shared" si="124"/>
        <v/>
      </c>
    </row>
    <row r="436" spans="1:6" x14ac:dyDescent="0.2">
      <c r="A436" s="80" t="str">
        <f t="shared" si="120"/>
        <v/>
      </c>
      <c r="B436" s="80"/>
      <c r="C436" s="229" t="str">
        <f t="shared" si="121"/>
        <v/>
      </c>
      <c r="D436" s="229" t="str">
        <f t="shared" si="122"/>
        <v/>
      </c>
      <c r="E436" s="229" t="str">
        <f t="shared" si="123"/>
        <v/>
      </c>
      <c r="F436" s="97" t="str">
        <f t="shared" si="124"/>
        <v/>
      </c>
    </row>
    <row r="437" spans="1:6" x14ac:dyDescent="0.2">
      <c r="A437" s="80" t="str">
        <f t="shared" si="120"/>
        <v/>
      </c>
      <c r="B437" s="80"/>
      <c r="C437" s="229" t="str">
        <f t="shared" si="121"/>
        <v/>
      </c>
      <c r="D437" s="229" t="str">
        <f t="shared" si="122"/>
        <v/>
      </c>
      <c r="E437" s="229" t="str">
        <f t="shared" si="123"/>
        <v/>
      </c>
      <c r="F437" s="97" t="str">
        <f t="shared" si="124"/>
        <v/>
      </c>
    </row>
    <row r="438" spans="1:6" x14ac:dyDescent="0.2">
      <c r="A438" s="80" t="str">
        <f t="shared" ref="A438:A493" si="125">IF(A437&lt;D$8*12,A437+1,"")</f>
        <v/>
      </c>
      <c r="B438" s="80"/>
      <c r="C438" s="229" t="str">
        <f t="shared" ref="C438:C493" si="126">IF(F437=0,"",IF($A438&lt;=D$8*12,C437,""))</f>
        <v/>
      </c>
      <c r="D438" s="229" t="str">
        <f t="shared" ref="D438:D493" si="127">IF(C438="","",C438-E438)</f>
        <v/>
      </c>
      <c r="E438" s="229" t="str">
        <f t="shared" ref="E438:E493" si="128">IF(C438="","",F437*D$7/12)</f>
        <v/>
      </c>
      <c r="F438" s="97" t="str">
        <f t="shared" ref="F438:F493" si="129">IF(D$6=0,"",IF($A438&gt;D$8*12,"",D$6+CUMPRINC(D$7/12,D$8*12,D$6,1,$A438,0)))</f>
        <v/>
      </c>
    </row>
    <row r="439" spans="1:6" x14ac:dyDescent="0.2">
      <c r="A439" s="80" t="str">
        <f t="shared" si="125"/>
        <v/>
      </c>
      <c r="B439" s="80"/>
      <c r="C439" s="229" t="str">
        <f t="shared" si="126"/>
        <v/>
      </c>
      <c r="D439" s="229" t="str">
        <f t="shared" si="127"/>
        <v/>
      </c>
      <c r="E439" s="229" t="str">
        <f t="shared" si="128"/>
        <v/>
      </c>
      <c r="F439" s="97" t="str">
        <f t="shared" si="129"/>
        <v/>
      </c>
    </row>
    <row r="440" spans="1:6" x14ac:dyDescent="0.2">
      <c r="A440" s="80" t="str">
        <f t="shared" si="125"/>
        <v/>
      </c>
      <c r="B440" s="80"/>
      <c r="C440" s="229" t="str">
        <f t="shared" si="126"/>
        <v/>
      </c>
      <c r="D440" s="229" t="str">
        <f t="shared" si="127"/>
        <v/>
      </c>
      <c r="E440" s="229" t="str">
        <f t="shared" si="128"/>
        <v/>
      </c>
      <c r="F440" s="97" t="str">
        <f t="shared" si="129"/>
        <v/>
      </c>
    </row>
    <row r="441" spans="1:6" x14ac:dyDescent="0.2">
      <c r="A441" s="80" t="str">
        <f t="shared" si="125"/>
        <v/>
      </c>
      <c r="B441" s="80"/>
      <c r="C441" s="229" t="str">
        <f t="shared" si="126"/>
        <v/>
      </c>
      <c r="D441" s="229" t="str">
        <f t="shared" si="127"/>
        <v/>
      </c>
      <c r="E441" s="229" t="str">
        <f t="shared" si="128"/>
        <v/>
      </c>
      <c r="F441" s="97" t="str">
        <f t="shared" si="129"/>
        <v/>
      </c>
    </row>
    <row r="442" spans="1:6" x14ac:dyDescent="0.2">
      <c r="A442" s="80" t="str">
        <f t="shared" si="125"/>
        <v/>
      </c>
      <c r="B442" s="80"/>
      <c r="C442" s="229" t="str">
        <f t="shared" si="126"/>
        <v/>
      </c>
      <c r="D442" s="229" t="str">
        <f t="shared" si="127"/>
        <v/>
      </c>
      <c r="E442" s="229" t="str">
        <f t="shared" si="128"/>
        <v/>
      </c>
      <c r="F442" s="97" t="str">
        <f t="shared" si="129"/>
        <v/>
      </c>
    </row>
    <row r="443" spans="1:6" x14ac:dyDescent="0.2">
      <c r="A443" s="80" t="str">
        <f t="shared" si="125"/>
        <v/>
      </c>
      <c r="B443" s="80"/>
      <c r="C443" s="229" t="str">
        <f t="shared" si="126"/>
        <v/>
      </c>
      <c r="D443" s="229" t="str">
        <f t="shared" si="127"/>
        <v/>
      </c>
      <c r="E443" s="229" t="str">
        <f t="shared" si="128"/>
        <v/>
      </c>
      <c r="F443" s="97" t="str">
        <f t="shared" si="129"/>
        <v/>
      </c>
    </row>
    <row r="444" spans="1:6" x14ac:dyDescent="0.2">
      <c r="A444" s="80" t="str">
        <f t="shared" si="125"/>
        <v/>
      </c>
      <c r="B444" s="80"/>
      <c r="C444" s="229" t="str">
        <f t="shared" si="126"/>
        <v/>
      </c>
      <c r="D444" s="229" t="str">
        <f t="shared" si="127"/>
        <v/>
      </c>
      <c r="E444" s="229" t="str">
        <f t="shared" si="128"/>
        <v/>
      </c>
      <c r="F444" s="97" t="str">
        <f t="shared" si="129"/>
        <v/>
      </c>
    </row>
    <row r="445" spans="1:6" x14ac:dyDescent="0.2">
      <c r="A445" s="80" t="str">
        <f t="shared" si="125"/>
        <v/>
      </c>
      <c r="B445" s="80"/>
      <c r="C445" s="229" t="str">
        <f t="shared" si="126"/>
        <v/>
      </c>
      <c r="D445" s="229" t="str">
        <f t="shared" si="127"/>
        <v/>
      </c>
      <c r="E445" s="229" t="str">
        <f t="shared" si="128"/>
        <v/>
      </c>
      <c r="F445" s="97" t="str">
        <f t="shared" si="129"/>
        <v/>
      </c>
    </row>
    <row r="446" spans="1:6" x14ac:dyDescent="0.2">
      <c r="A446" s="80" t="str">
        <f t="shared" si="125"/>
        <v/>
      </c>
      <c r="B446" s="80"/>
      <c r="C446" s="229" t="str">
        <f t="shared" si="126"/>
        <v/>
      </c>
      <c r="D446" s="229" t="str">
        <f t="shared" si="127"/>
        <v/>
      </c>
      <c r="E446" s="229" t="str">
        <f t="shared" si="128"/>
        <v/>
      </c>
      <c r="F446" s="97" t="str">
        <f t="shared" si="129"/>
        <v/>
      </c>
    </row>
    <row r="447" spans="1:6" x14ac:dyDescent="0.2">
      <c r="A447" s="80" t="str">
        <f t="shared" si="125"/>
        <v/>
      </c>
      <c r="B447" s="80"/>
      <c r="C447" s="229" t="str">
        <f t="shared" si="126"/>
        <v/>
      </c>
      <c r="D447" s="229" t="str">
        <f t="shared" si="127"/>
        <v/>
      </c>
      <c r="E447" s="229" t="str">
        <f t="shared" si="128"/>
        <v/>
      </c>
      <c r="F447" s="97" t="str">
        <f t="shared" si="129"/>
        <v/>
      </c>
    </row>
    <row r="448" spans="1:6" x14ac:dyDescent="0.2">
      <c r="A448" s="80" t="str">
        <f t="shared" si="125"/>
        <v/>
      </c>
      <c r="B448" s="80"/>
      <c r="C448" s="229" t="str">
        <f t="shared" si="126"/>
        <v/>
      </c>
      <c r="D448" s="229" t="str">
        <f t="shared" si="127"/>
        <v/>
      </c>
      <c r="E448" s="229" t="str">
        <f t="shared" si="128"/>
        <v/>
      </c>
      <c r="F448" s="97" t="str">
        <f t="shared" si="129"/>
        <v/>
      </c>
    </row>
    <row r="449" spans="1:6" x14ac:dyDescent="0.2">
      <c r="A449" s="80" t="str">
        <f t="shared" si="125"/>
        <v/>
      </c>
      <c r="B449" s="80"/>
      <c r="C449" s="229" t="str">
        <f t="shared" si="126"/>
        <v/>
      </c>
      <c r="D449" s="229" t="str">
        <f t="shared" si="127"/>
        <v/>
      </c>
      <c r="E449" s="229" t="str">
        <f t="shared" si="128"/>
        <v/>
      </c>
      <c r="F449" s="97" t="str">
        <f t="shared" si="129"/>
        <v/>
      </c>
    </row>
    <row r="450" spans="1:6" x14ac:dyDescent="0.2">
      <c r="A450" s="80" t="str">
        <f t="shared" si="125"/>
        <v/>
      </c>
      <c r="B450" s="80"/>
      <c r="C450" s="229" t="str">
        <f t="shared" si="126"/>
        <v/>
      </c>
      <c r="D450" s="229" t="str">
        <f t="shared" si="127"/>
        <v/>
      </c>
      <c r="E450" s="229" t="str">
        <f t="shared" si="128"/>
        <v/>
      </c>
      <c r="F450" s="97" t="str">
        <f t="shared" si="129"/>
        <v/>
      </c>
    </row>
    <row r="451" spans="1:6" x14ac:dyDescent="0.2">
      <c r="A451" s="80" t="str">
        <f t="shared" si="125"/>
        <v/>
      </c>
      <c r="B451" s="80"/>
      <c r="C451" s="229" t="str">
        <f t="shared" si="126"/>
        <v/>
      </c>
      <c r="D451" s="229" t="str">
        <f t="shared" si="127"/>
        <v/>
      </c>
      <c r="E451" s="229" t="str">
        <f t="shared" si="128"/>
        <v/>
      </c>
      <c r="F451" s="97" t="str">
        <f t="shared" si="129"/>
        <v/>
      </c>
    </row>
    <row r="452" spans="1:6" x14ac:dyDescent="0.2">
      <c r="A452" s="80" t="str">
        <f t="shared" si="125"/>
        <v/>
      </c>
      <c r="B452" s="80"/>
      <c r="C452" s="229" t="str">
        <f t="shared" si="126"/>
        <v/>
      </c>
      <c r="D452" s="229" t="str">
        <f t="shared" si="127"/>
        <v/>
      </c>
      <c r="E452" s="229" t="str">
        <f t="shared" si="128"/>
        <v/>
      </c>
      <c r="F452" s="97" t="str">
        <f t="shared" si="129"/>
        <v/>
      </c>
    </row>
    <row r="453" spans="1:6" x14ac:dyDescent="0.2">
      <c r="A453" s="80" t="str">
        <f t="shared" si="125"/>
        <v/>
      </c>
      <c r="B453" s="80"/>
      <c r="C453" s="229" t="str">
        <f t="shared" si="126"/>
        <v/>
      </c>
      <c r="D453" s="229" t="str">
        <f t="shared" si="127"/>
        <v/>
      </c>
      <c r="E453" s="229" t="str">
        <f t="shared" si="128"/>
        <v/>
      </c>
      <c r="F453" s="97" t="str">
        <f t="shared" si="129"/>
        <v/>
      </c>
    </row>
    <row r="454" spans="1:6" x14ac:dyDescent="0.2">
      <c r="A454" s="80" t="str">
        <f t="shared" si="125"/>
        <v/>
      </c>
      <c r="B454" s="80"/>
      <c r="C454" s="229" t="str">
        <f t="shared" si="126"/>
        <v/>
      </c>
      <c r="D454" s="229" t="str">
        <f t="shared" si="127"/>
        <v/>
      </c>
      <c r="E454" s="229" t="str">
        <f t="shared" si="128"/>
        <v/>
      </c>
      <c r="F454" s="97" t="str">
        <f t="shared" si="129"/>
        <v/>
      </c>
    </row>
    <row r="455" spans="1:6" x14ac:dyDescent="0.2">
      <c r="A455" s="80" t="str">
        <f t="shared" si="125"/>
        <v/>
      </c>
      <c r="B455" s="80"/>
      <c r="C455" s="229" t="str">
        <f t="shared" si="126"/>
        <v/>
      </c>
      <c r="D455" s="229" t="str">
        <f t="shared" si="127"/>
        <v/>
      </c>
      <c r="E455" s="229" t="str">
        <f t="shared" si="128"/>
        <v/>
      </c>
      <c r="F455" s="97" t="str">
        <f t="shared" si="129"/>
        <v/>
      </c>
    </row>
    <row r="456" spans="1:6" x14ac:dyDescent="0.2">
      <c r="A456" s="80" t="str">
        <f t="shared" si="125"/>
        <v/>
      </c>
      <c r="B456" s="80"/>
      <c r="C456" s="229" t="str">
        <f t="shared" si="126"/>
        <v/>
      </c>
      <c r="D456" s="229" t="str">
        <f t="shared" si="127"/>
        <v/>
      </c>
      <c r="E456" s="229" t="str">
        <f t="shared" si="128"/>
        <v/>
      </c>
      <c r="F456" s="97" t="str">
        <f t="shared" si="129"/>
        <v/>
      </c>
    </row>
    <row r="457" spans="1:6" x14ac:dyDescent="0.2">
      <c r="A457" s="80" t="str">
        <f t="shared" si="125"/>
        <v/>
      </c>
      <c r="B457" s="80"/>
      <c r="C457" s="229" t="str">
        <f t="shared" si="126"/>
        <v/>
      </c>
      <c r="D457" s="229" t="str">
        <f t="shared" si="127"/>
        <v/>
      </c>
      <c r="E457" s="229" t="str">
        <f t="shared" si="128"/>
        <v/>
      </c>
      <c r="F457" s="97" t="str">
        <f t="shared" si="129"/>
        <v/>
      </c>
    </row>
    <row r="458" spans="1:6" x14ac:dyDescent="0.2">
      <c r="A458" s="80" t="str">
        <f t="shared" si="125"/>
        <v/>
      </c>
      <c r="B458" s="80"/>
      <c r="C458" s="229" t="str">
        <f t="shared" si="126"/>
        <v/>
      </c>
      <c r="D458" s="229" t="str">
        <f t="shared" si="127"/>
        <v/>
      </c>
      <c r="E458" s="229" t="str">
        <f t="shared" si="128"/>
        <v/>
      </c>
      <c r="F458" s="97" t="str">
        <f t="shared" si="129"/>
        <v/>
      </c>
    </row>
    <row r="459" spans="1:6" x14ac:dyDescent="0.2">
      <c r="A459" s="80" t="str">
        <f t="shared" si="125"/>
        <v/>
      </c>
      <c r="B459" s="80"/>
      <c r="C459" s="229" t="str">
        <f t="shared" si="126"/>
        <v/>
      </c>
      <c r="D459" s="229" t="str">
        <f t="shared" si="127"/>
        <v/>
      </c>
      <c r="E459" s="229" t="str">
        <f t="shared" si="128"/>
        <v/>
      </c>
      <c r="F459" s="97" t="str">
        <f t="shared" si="129"/>
        <v/>
      </c>
    </row>
    <row r="460" spans="1:6" x14ac:dyDescent="0.2">
      <c r="A460" s="80" t="str">
        <f t="shared" si="125"/>
        <v/>
      </c>
      <c r="B460" s="80"/>
      <c r="C460" s="229" t="str">
        <f t="shared" si="126"/>
        <v/>
      </c>
      <c r="D460" s="229" t="str">
        <f t="shared" si="127"/>
        <v/>
      </c>
      <c r="E460" s="229" t="str">
        <f t="shared" si="128"/>
        <v/>
      </c>
      <c r="F460" s="97" t="str">
        <f t="shared" si="129"/>
        <v/>
      </c>
    </row>
    <row r="461" spans="1:6" x14ac:dyDescent="0.2">
      <c r="A461" s="80" t="str">
        <f t="shared" si="125"/>
        <v/>
      </c>
      <c r="B461" s="80"/>
      <c r="C461" s="229" t="str">
        <f t="shared" si="126"/>
        <v/>
      </c>
      <c r="D461" s="229" t="str">
        <f t="shared" si="127"/>
        <v/>
      </c>
      <c r="E461" s="229" t="str">
        <f t="shared" si="128"/>
        <v/>
      </c>
      <c r="F461" s="97" t="str">
        <f t="shared" si="129"/>
        <v/>
      </c>
    </row>
    <row r="462" spans="1:6" x14ac:dyDescent="0.2">
      <c r="A462" s="80" t="str">
        <f t="shared" si="125"/>
        <v/>
      </c>
      <c r="B462" s="80"/>
      <c r="C462" s="229" t="str">
        <f t="shared" si="126"/>
        <v/>
      </c>
      <c r="D462" s="229" t="str">
        <f t="shared" si="127"/>
        <v/>
      </c>
      <c r="E462" s="229" t="str">
        <f t="shared" si="128"/>
        <v/>
      </c>
      <c r="F462" s="97" t="str">
        <f t="shared" si="129"/>
        <v/>
      </c>
    </row>
    <row r="463" spans="1:6" x14ac:dyDescent="0.2">
      <c r="A463" s="80" t="str">
        <f t="shared" si="125"/>
        <v/>
      </c>
      <c r="B463" s="80"/>
      <c r="C463" s="229" t="str">
        <f t="shared" si="126"/>
        <v/>
      </c>
      <c r="D463" s="229" t="str">
        <f t="shared" si="127"/>
        <v/>
      </c>
      <c r="E463" s="229" t="str">
        <f t="shared" si="128"/>
        <v/>
      </c>
      <c r="F463" s="97" t="str">
        <f t="shared" si="129"/>
        <v/>
      </c>
    </row>
    <row r="464" spans="1:6" x14ac:dyDescent="0.2">
      <c r="A464" s="80" t="str">
        <f t="shared" si="125"/>
        <v/>
      </c>
      <c r="B464" s="80"/>
      <c r="C464" s="229" t="str">
        <f t="shared" si="126"/>
        <v/>
      </c>
      <c r="D464" s="229" t="str">
        <f t="shared" si="127"/>
        <v/>
      </c>
      <c r="E464" s="229" t="str">
        <f t="shared" si="128"/>
        <v/>
      </c>
      <c r="F464" s="97" t="str">
        <f t="shared" si="129"/>
        <v/>
      </c>
    </row>
    <row r="465" spans="1:6" x14ac:dyDescent="0.2">
      <c r="A465" s="80" t="str">
        <f t="shared" si="125"/>
        <v/>
      </c>
      <c r="B465" s="80"/>
      <c r="C465" s="229" t="str">
        <f t="shared" si="126"/>
        <v/>
      </c>
      <c r="D465" s="229" t="str">
        <f t="shared" si="127"/>
        <v/>
      </c>
      <c r="E465" s="229" t="str">
        <f t="shared" si="128"/>
        <v/>
      </c>
      <c r="F465" s="97" t="str">
        <f t="shared" si="129"/>
        <v/>
      </c>
    </row>
    <row r="466" spans="1:6" x14ac:dyDescent="0.2">
      <c r="A466" s="80" t="str">
        <f t="shared" si="125"/>
        <v/>
      </c>
      <c r="B466" s="80"/>
      <c r="C466" s="229" t="str">
        <f t="shared" si="126"/>
        <v/>
      </c>
      <c r="D466" s="229" t="str">
        <f t="shared" si="127"/>
        <v/>
      </c>
      <c r="E466" s="229" t="str">
        <f t="shared" si="128"/>
        <v/>
      </c>
      <c r="F466" s="97" t="str">
        <f t="shared" si="129"/>
        <v/>
      </c>
    </row>
    <row r="467" spans="1:6" x14ac:dyDescent="0.2">
      <c r="A467" s="80" t="str">
        <f t="shared" si="125"/>
        <v/>
      </c>
      <c r="B467" s="80"/>
      <c r="C467" s="229" t="str">
        <f t="shared" si="126"/>
        <v/>
      </c>
      <c r="D467" s="229" t="str">
        <f t="shared" si="127"/>
        <v/>
      </c>
      <c r="E467" s="229" t="str">
        <f t="shared" si="128"/>
        <v/>
      </c>
      <c r="F467" s="97" t="str">
        <f t="shared" si="129"/>
        <v/>
      </c>
    </row>
    <row r="468" spans="1:6" x14ac:dyDescent="0.2">
      <c r="A468" s="80" t="str">
        <f t="shared" si="125"/>
        <v/>
      </c>
      <c r="B468" s="80"/>
      <c r="C468" s="229" t="str">
        <f t="shared" si="126"/>
        <v/>
      </c>
      <c r="D468" s="229" t="str">
        <f t="shared" si="127"/>
        <v/>
      </c>
      <c r="E468" s="229" t="str">
        <f t="shared" si="128"/>
        <v/>
      </c>
      <c r="F468" s="97" t="str">
        <f t="shared" si="129"/>
        <v/>
      </c>
    </row>
    <row r="469" spans="1:6" x14ac:dyDescent="0.2">
      <c r="A469" s="80" t="str">
        <f t="shared" si="125"/>
        <v/>
      </c>
      <c r="B469" s="80"/>
      <c r="C469" s="229" t="str">
        <f t="shared" si="126"/>
        <v/>
      </c>
      <c r="D469" s="229" t="str">
        <f t="shared" si="127"/>
        <v/>
      </c>
      <c r="E469" s="229" t="str">
        <f t="shared" si="128"/>
        <v/>
      </c>
      <c r="F469" s="97" t="str">
        <f t="shared" si="129"/>
        <v/>
      </c>
    </row>
    <row r="470" spans="1:6" x14ac:dyDescent="0.2">
      <c r="A470" s="80" t="str">
        <f t="shared" si="125"/>
        <v/>
      </c>
      <c r="B470" s="80"/>
      <c r="C470" s="229" t="str">
        <f t="shared" si="126"/>
        <v/>
      </c>
      <c r="D470" s="229" t="str">
        <f t="shared" si="127"/>
        <v/>
      </c>
      <c r="E470" s="229" t="str">
        <f t="shared" si="128"/>
        <v/>
      </c>
      <c r="F470" s="97" t="str">
        <f t="shared" si="129"/>
        <v/>
      </c>
    </row>
    <row r="471" spans="1:6" x14ac:dyDescent="0.2">
      <c r="A471" s="80" t="str">
        <f t="shared" si="125"/>
        <v/>
      </c>
      <c r="B471" s="80"/>
      <c r="C471" s="229" t="str">
        <f t="shared" si="126"/>
        <v/>
      </c>
      <c r="D471" s="229" t="str">
        <f t="shared" si="127"/>
        <v/>
      </c>
      <c r="E471" s="229" t="str">
        <f t="shared" si="128"/>
        <v/>
      </c>
      <c r="F471" s="97" t="str">
        <f t="shared" si="129"/>
        <v/>
      </c>
    </row>
    <row r="472" spans="1:6" x14ac:dyDescent="0.2">
      <c r="A472" s="80" t="str">
        <f t="shared" si="125"/>
        <v/>
      </c>
      <c r="B472" s="80"/>
      <c r="C472" s="229" t="str">
        <f t="shared" si="126"/>
        <v/>
      </c>
      <c r="D472" s="229" t="str">
        <f t="shared" si="127"/>
        <v/>
      </c>
      <c r="E472" s="229" t="str">
        <f t="shared" si="128"/>
        <v/>
      </c>
      <c r="F472" s="97" t="str">
        <f t="shared" si="129"/>
        <v/>
      </c>
    </row>
    <row r="473" spans="1:6" x14ac:dyDescent="0.2">
      <c r="A473" s="80" t="str">
        <f t="shared" si="125"/>
        <v/>
      </c>
      <c r="B473" s="80"/>
      <c r="C473" s="229" t="str">
        <f t="shared" si="126"/>
        <v/>
      </c>
      <c r="D473" s="229" t="str">
        <f t="shared" si="127"/>
        <v/>
      </c>
      <c r="E473" s="229" t="str">
        <f t="shared" si="128"/>
        <v/>
      </c>
      <c r="F473" s="97" t="str">
        <f t="shared" si="129"/>
        <v/>
      </c>
    </row>
    <row r="474" spans="1:6" x14ac:dyDescent="0.2">
      <c r="A474" s="80" t="str">
        <f t="shared" si="125"/>
        <v/>
      </c>
      <c r="B474" s="80"/>
      <c r="C474" s="229" t="str">
        <f t="shared" si="126"/>
        <v/>
      </c>
      <c r="D474" s="229" t="str">
        <f t="shared" si="127"/>
        <v/>
      </c>
      <c r="E474" s="229" t="str">
        <f t="shared" si="128"/>
        <v/>
      </c>
      <c r="F474" s="97" t="str">
        <f t="shared" si="129"/>
        <v/>
      </c>
    </row>
    <row r="475" spans="1:6" x14ac:dyDescent="0.2">
      <c r="A475" s="80" t="str">
        <f t="shared" si="125"/>
        <v/>
      </c>
      <c r="B475" s="80"/>
      <c r="C475" s="229" t="str">
        <f t="shared" si="126"/>
        <v/>
      </c>
      <c r="D475" s="229" t="str">
        <f t="shared" si="127"/>
        <v/>
      </c>
      <c r="E475" s="229" t="str">
        <f t="shared" si="128"/>
        <v/>
      </c>
      <c r="F475" s="97" t="str">
        <f t="shared" si="129"/>
        <v/>
      </c>
    </row>
    <row r="476" spans="1:6" x14ac:dyDescent="0.2">
      <c r="A476" s="80" t="str">
        <f t="shared" si="125"/>
        <v/>
      </c>
      <c r="B476" s="80"/>
      <c r="C476" s="229" t="str">
        <f t="shared" si="126"/>
        <v/>
      </c>
      <c r="D476" s="229" t="str">
        <f t="shared" si="127"/>
        <v/>
      </c>
      <c r="E476" s="229" t="str">
        <f t="shared" si="128"/>
        <v/>
      </c>
      <c r="F476" s="97" t="str">
        <f t="shared" si="129"/>
        <v/>
      </c>
    </row>
    <row r="477" spans="1:6" x14ac:dyDescent="0.2">
      <c r="A477" s="80" t="str">
        <f t="shared" si="125"/>
        <v/>
      </c>
      <c r="B477" s="80"/>
      <c r="C477" s="229" t="str">
        <f t="shared" si="126"/>
        <v/>
      </c>
      <c r="D477" s="229" t="str">
        <f t="shared" si="127"/>
        <v/>
      </c>
      <c r="E477" s="229" t="str">
        <f t="shared" si="128"/>
        <v/>
      </c>
      <c r="F477" s="97" t="str">
        <f t="shared" si="129"/>
        <v/>
      </c>
    </row>
    <row r="478" spans="1:6" x14ac:dyDescent="0.2">
      <c r="A478" s="80" t="str">
        <f t="shared" si="125"/>
        <v/>
      </c>
      <c r="B478" s="80"/>
      <c r="C478" s="229" t="str">
        <f t="shared" si="126"/>
        <v/>
      </c>
      <c r="D478" s="229" t="str">
        <f t="shared" si="127"/>
        <v/>
      </c>
      <c r="E478" s="229" t="str">
        <f t="shared" si="128"/>
        <v/>
      </c>
      <c r="F478" s="97" t="str">
        <f t="shared" si="129"/>
        <v/>
      </c>
    </row>
    <row r="479" spans="1:6" x14ac:dyDescent="0.2">
      <c r="A479" s="80" t="str">
        <f t="shared" si="125"/>
        <v/>
      </c>
      <c r="B479" s="80"/>
      <c r="C479" s="229" t="str">
        <f t="shared" si="126"/>
        <v/>
      </c>
      <c r="D479" s="229" t="str">
        <f t="shared" si="127"/>
        <v/>
      </c>
      <c r="E479" s="229" t="str">
        <f t="shared" si="128"/>
        <v/>
      </c>
      <c r="F479" s="97" t="str">
        <f t="shared" si="129"/>
        <v/>
      </c>
    </row>
    <row r="480" spans="1:6" x14ac:dyDescent="0.2">
      <c r="A480" s="80" t="str">
        <f t="shared" si="125"/>
        <v/>
      </c>
      <c r="B480" s="80"/>
      <c r="C480" s="229" t="str">
        <f t="shared" si="126"/>
        <v/>
      </c>
      <c r="D480" s="229" t="str">
        <f t="shared" si="127"/>
        <v/>
      </c>
      <c r="E480" s="229" t="str">
        <f t="shared" si="128"/>
        <v/>
      </c>
      <c r="F480" s="97" t="str">
        <f t="shared" si="129"/>
        <v/>
      </c>
    </row>
    <row r="481" spans="1:6" x14ac:dyDescent="0.2">
      <c r="A481" s="80" t="str">
        <f t="shared" si="125"/>
        <v/>
      </c>
      <c r="B481" s="80"/>
      <c r="C481" s="229" t="str">
        <f t="shared" si="126"/>
        <v/>
      </c>
      <c r="D481" s="229" t="str">
        <f t="shared" si="127"/>
        <v/>
      </c>
      <c r="E481" s="229" t="str">
        <f t="shared" si="128"/>
        <v/>
      </c>
      <c r="F481" s="97" t="str">
        <f t="shared" si="129"/>
        <v/>
      </c>
    </row>
    <row r="482" spans="1:6" x14ac:dyDescent="0.2">
      <c r="A482" s="80" t="str">
        <f t="shared" si="125"/>
        <v/>
      </c>
      <c r="B482" s="80"/>
      <c r="C482" s="229" t="str">
        <f t="shared" si="126"/>
        <v/>
      </c>
      <c r="D482" s="229" t="str">
        <f t="shared" si="127"/>
        <v/>
      </c>
      <c r="E482" s="229" t="str">
        <f t="shared" si="128"/>
        <v/>
      </c>
      <c r="F482" s="97" t="str">
        <f t="shared" si="129"/>
        <v/>
      </c>
    </row>
    <row r="483" spans="1:6" x14ac:dyDescent="0.2">
      <c r="A483" s="80" t="str">
        <f t="shared" si="125"/>
        <v/>
      </c>
      <c r="B483" s="80"/>
      <c r="C483" s="229" t="str">
        <f t="shared" si="126"/>
        <v/>
      </c>
      <c r="D483" s="229" t="str">
        <f t="shared" si="127"/>
        <v/>
      </c>
      <c r="E483" s="229" t="str">
        <f t="shared" si="128"/>
        <v/>
      </c>
      <c r="F483" s="97" t="str">
        <f t="shared" si="129"/>
        <v/>
      </c>
    </row>
    <row r="484" spans="1:6" x14ac:dyDescent="0.2">
      <c r="A484" s="80" t="str">
        <f t="shared" si="125"/>
        <v/>
      </c>
      <c r="B484" s="80"/>
      <c r="C484" s="229" t="str">
        <f t="shared" si="126"/>
        <v/>
      </c>
      <c r="D484" s="229" t="str">
        <f t="shared" si="127"/>
        <v/>
      </c>
      <c r="E484" s="229" t="str">
        <f t="shared" si="128"/>
        <v/>
      </c>
      <c r="F484" s="97" t="str">
        <f t="shared" si="129"/>
        <v/>
      </c>
    </row>
    <row r="485" spans="1:6" x14ac:dyDescent="0.2">
      <c r="A485" s="80" t="str">
        <f t="shared" si="125"/>
        <v/>
      </c>
      <c r="B485" s="80"/>
      <c r="C485" s="229" t="str">
        <f t="shared" si="126"/>
        <v/>
      </c>
      <c r="D485" s="229" t="str">
        <f t="shared" si="127"/>
        <v/>
      </c>
      <c r="E485" s="229" t="str">
        <f t="shared" si="128"/>
        <v/>
      </c>
      <c r="F485" s="97" t="str">
        <f t="shared" si="129"/>
        <v/>
      </c>
    </row>
    <row r="486" spans="1:6" x14ac:dyDescent="0.2">
      <c r="A486" s="80" t="str">
        <f t="shared" si="125"/>
        <v/>
      </c>
      <c r="B486" s="80"/>
      <c r="C486" s="229" t="str">
        <f t="shared" si="126"/>
        <v/>
      </c>
      <c r="D486" s="229" t="str">
        <f t="shared" si="127"/>
        <v/>
      </c>
      <c r="E486" s="229" t="str">
        <f t="shared" si="128"/>
        <v/>
      </c>
      <c r="F486" s="97" t="str">
        <f t="shared" si="129"/>
        <v/>
      </c>
    </row>
    <row r="487" spans="1:6" x14ac:dyDescent="0.2">
      <c r="A487" s="80" t="str">
        <f t="shared" si="125"/>
        <v/>
      </c>
      <c r="B487" s="80"/>
      <c r="C487" s="229" t="str">
        <f t="shared" si="126"/>
        <v/>
      </c>
      <c r="D487" s="229" t="str">
        <f t="shared" si="127"/>
        <v/>
      </c>
      <c r="E487" s="229" t="str">
        <f t="shared" si="128"/>
        <v/>
      </c>
      <c r="F487" s="97" t="str">
        <f t="shared" si="129"/>
        <v/>
      </c>
    </row>
    <row r="488" spans="1:6" x14ac:dyDescent="0.2">
      <c r="A488" s="80" t="str">
        <f t="shared" si="125"/>
        <v/>
      </c>
      <c r="B488" s="80"/>
      <c r="C488" s="229" t="str">
        <f t="shared" si="126"/>
        <v/>
      </c>
      <c r="D488" s="229" t="str">
        <f t="shared" si="127"/>
        <v/>
      </c>
      <c r="E488" s="229" t="str">
        <f t="shared" si="128"/>
        <v/>
      </c>
      <c r="F488" s="97" t="str">
        <f t="shared" si="129"/>
        <v/>
      </c>
    </row>
    <row r="489" spans="1:6" x14ac:dyDescent="0.2">
      <c r="A489" s="80" t="str">
        <f t="shared" si="125"/>
        <v/>
      </c>
      <c r="B489" s="80"/>
      <c r="C489" s="229" t="str">
        <f t="shared" si="126"/>
        <v/>
      </c>
      <c r="D489" s="229" t="str">
        <f t="shared" si="127"/>
        <v/>
      </c>
      <c r="E489" s="229" t="str">
        <f t="shared" si="128"/>
        <v/>
      </c>
      <c r="F489" s="97" t="str">
        <f t="shared" si="129"/>
        <v/>
      </c>
    </row>
    <row r="490" spans="1:6" x14ac:dyDescent="0.2">
      <c r="A490" s="80" t="str">
        <f t="shared" si="125"/>
        <v/>
      </c>
      <c r="B490" s="80"/>
      <c r="C490" s="229" t="str">
        <f t="shared" si="126"/>
        <v/>
      </c>
      <c r="D490" s="229" t="str">
        <f t="shared" si="127"/>
        <v/>
      </c>
      <c r="E490" s="229" t="str">
        <f t="shared" si="128"/>
        <v/>
      </c>
      <c r="F490" s="97" t="str">
        <f t="shared" si="129"/>
        <v/>
      </c>
    </row>
    <row r="491" spans="1:6" x14ac:dyDescent="0.2">
      <c r="A491" s="80" t="str">
        <f t="shared" si="125"/>
        <v/>
      </c>
      <c r="B491" s="80"/>
      <c r="C491" s="229" t="str">
        <f t="shared" si="126"/>
        <v/>
      </c>
      <c r="D491" s="229" t="str">
        <f t="shared" si="127"/>
        <v/>
      </c>
      <c r="E491" s="229" t="str">
        <f t="shared" si="128"/>
        <v/>
      </c>
      <c r="F491" s="97" t="str">
        <f t="shared" si="129"/>
        <v/>
      </c>
    </row>
    <row r="492" spans="1:6" x14ac:dyDescent="0.2">
      <c r="A492" s="80" t="str">
        <f t="shared" si="125"/>
        <v/>
      </c>
      <c r="B492" s="80"/>
      <c r="C492" s="229" t="str">
        <f t="shared" si="126"/>
        <v/>
      </c>
      <c r="D492" s="229" t="str">
        <f t="shared" si="127"/>
        <v/>
      </c>
      <c r="E492" s="229" t="str">
        <f t="shared" si="128"/>
        <v/>
      </c>
      <c r="F492" s="97" t="str">
        <f t="shared" si="129"/>
        <v/>
      </c>
    </row>
    <row r="493" spans="1:6" x14ac:dyDescent="0.2">
      <c r="A493" s="80" t="str">
        <f t="shared" si="125"/>
        <v/>
      </c>
      <c r="B493" s="80"/>
      <c r="C493" s="229" t="str">
        <f t="shared" si="126"/>
        <v/>
      </c>
      <c r="D493" s="229" t="str">
        <f t="shared" si="127"/>
        <v/>
      </c>
      <c r="E493" s="229" t="str">
        <f t="shared" si="128"/>
        <v/>
      </c>
      <c r="F493" s="97" t="str">
        <f t="shared" si="129"/>
        <v/>
      </c>
    </row>
  </sheetData>
  <printOptions horizontalCentered="1"/>
  <pageMargins left="1.5" right="1.5" top="1" bottom="0.5" header="0.5" footer="0.5"/>
  <pageSetup scale="79" orientation="portrait" r:id="rId1"/>
  <headerFooter alignWithMargins="0"/>
  <rowBreaks count="7" manualBreakCount="7">
    <brk id="61" max="16383" man="1"/>
    <brk id="109" max="16383" man="1"/>
    <brk id="157" max="16383" man="1"/>
    <brk id="205" max="16383" man="1"/>
    <brk id="253" max="16383" man="1"/>
    <brk id="301" max="16383" man="1"/>
    <brk id="349" max="16383" man="1"/>
  </rowBreaks>
  <colBreaks count="3" manualBreakCount="3">
    <brk id="6" max="1048575" man="1"/>
    <brk id="12" max="1048575" man="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64"/>
  <sheetViews>
    <sheetView showGridLines="0" zoomScale="110" zoomScaleNormal="110" zoomScaleSheetLayoutView="100" workbookViewId="0">
      <selection activeCell="D45" sqref="D45"/>
    </sheetView>
  </sheetViews>
  <sheetFormatPr defaultColWidth="9.109375" defaultRowHeight="15" x14ac:dyDescent="0.25"/>
  <cols>
    <col min="1" max="3" width="3.6640625" style="696" customWidth="1"/>
    <col min="4" max="4" width="37.109375" style="696" bestFit="1" customWidth="1"/>
    <col min="5" max="16384" width="9.109375" style="696"/>
  </cols>
  <sheetData>
    <row r="1" spans="1:10" s="694" customFormat="1" ht="15.6" x14ac:dyDescent="0.3">
      <c r="A1" s="1472" t="s">
        <v>773</v>
      </c>
      <c r="B1" s="1472"/>
      <c r="C1" s="1472"/>
      <c r="D1" s="1472"/>
      <c r="E1" s="1472"/>
      <c r="F1" s="1472"/>
      <c r="G1" s="1472"/>
      <c r="H1" s="1472"/>
      <c r="I1" s="1472"/>
      <c r="J1" s="1472"/>
    </row>
    <row r="2" spans="1:10" s="694" customFormat="1" x14ac:dyDescent="0.25"/>
    <row r="3" spans="1:10" ht="15.6" x14ac:dyDescent="0.3">
      <c r="A3" s="695" t="s">
        <v>774</v>
      </c>
    </row>
    <row r="5" spans="1:10" ht="15.6" x14ac:dyDescent="0.3">
      <c r="A5" s="695"/>
    </row>
    <row r="6" spans="1:10" ht="15.6" x14ac:dyDescent="0.3">
      <c r="A6" s="695"/>
      <c r="B6" s="697" t="s">
        <v>775</v>
      </c>
      <c r="C6" s="695" t="s">
        <v>776</v>
      </c>
    </row>
    <row r="7" spans="1:10" ht="15.6" x14ac:dyDescent="0.3">
      <c r="A7" s="695"/>
      <c r="B7" s="697"/>
      <c r="C7" s="695"/>
    </row>
    <row r="8" spans="1:10" ht="15.6" x14ac:dyDescent="0.3">
      <c r="A8" s="695"/>
      <c r="B8" s="697"/>
      <c r="C8" s="695"/>
      <c r="D8" s="696" t="s">
        <v>1014</v>
      </c>
    </row>
    <row r="9" spans="1:10" ht="15.6" x14ac:dyDescent="0.3">
      <c r="A9" s="695"/>
      <c r="B9" s="697"/>
      <c r="C9" s="695"/>
      <c r="D9" s="696" t="s">
        <v>989</v>
      </c>
    </row>
    <row r="10" spans="1:10" ht="15.6" x14ac:dyDescent="0.3">
      <c r="A10" s="695"/>
      <c r="B10" s="697"/>
      <c r="C10" s="695"/>
      <c r="D10" s="696" t="s">
        <v>1787</v>
      </c>
    </row>
    <row r="11" spans="1:10" ht="15.6" x14ac:dyDescent="0.3">
      <c r="A11" s="695"/>
      <c r="B11" s="697"/>
      <c r="C11" s="695"/>
      <c r="D11" s="696" t="s">
        <v>1788</v>
      </c>
    </row>
    <row r="12" spans="1:10" ht="15.6" x14ac:dyDescent="0.3">
      <c r="A12" s="695"/>
      <c r="B12" s="697"/>
      <c r="C12" s="695"/>
      <c r="D12" s="696" t="s">
        <v>1789</v>
      </c>
    </row>
    <row r="13" spans="1:10" ht="15.6" x14ac:dyDescent="0.3">
      <c r="A13" s="695"/>
    </row>
    <row r="14" spans="1:10" ht="15.6" x14ac:dyDescent="0.3">
      <c r="A14" s="695"/>
      <c r="B14" s="697" t="s">
        <v>777</v>
      </c>
      <c r="C14" s="695" t="s">
        <v>778</v>
      </c>
    </row>
    <row r="15" spans="1:10" x14ac:dyDescent="0.25">
      <c r="C15" s="696" t="s">
        <v>990</v>
      </c>
    </row>
    <row r="17" spans="2:4" x14ac:dyDescent="0.25">
      <c r="D17" s="696" t="s">
        <v>779</v>
      </c>
    </row>
    <row r="18" spans="2:4" x14ac:dyDescent="0.25">
      <c r="D18" s="696" t="s">
        <v>991</v>
      </c>
    </row>
    <row r="19" spans="2:4" x14ac:dyDescent="0.25">
      <c r="D19" s="922" t="s">
        <v>981</v>
      </c>
    </row>
    <row r="20" spans="2:4" x14ac:dyDescent="0.25">
      <c r="D20" s="694" t="s">
        <v>982</v>
      </c>
    </row>
    <row r="21" spans="2:4" x14ac:dyDescent="0.25">
      <c r="D21" s="696" t="s">
        <v>983</v>
      </c>
    </row>
    <row r="22" spans="2:4" x14ac:dyDescent="0.25">
      <c r="D22" s="922" t="s">
        <v>981</v>
      </c>
    </row>
    <row r="23" spans="2:4" x14ac:dyDescent="0.25">
      <c r="D23" s="696" t="s">
        <v>1685</v>
      </c>
    </row>
    <row r="24" spans="2:4" x14ac:dyDescent="0.25">
      <c r="D24" s="922" t="s">
        <v>1686</v>
      </c>
    </row>
    <row r="25" spans="2:4" x14ac:dyDescent="0.25">
      <c r="D25" s="696" t="s">
        <v>1687</v>
      </c>
    </row>
    <row r="26" spans="2:4" x14ac:dyDescent="0.25">
      <c r="D26" s="696" t="s">
        <v>1688</v>
      </c>
    </row>
    <row r="27" spans="2:4" x14ac:dyDescent="0.25">
      <c r="D27" s="696" t="s">
        <v>983</v>
      </c>
    </row>
    <row r="30" spans="2:4" ht="15.6" x14ac:dyDescent="0.3">
      <c r="B30" s="697" t="s">
        <v>780</v>
      </c>
      <c r="C30" s="695" t="s">
        <v>781</v>
      </c>
    </row>
    <row r="32" spans="2:4" ht="15.6" x14ac:dyDescent="0.3">
      <c r="D32" s="695" t="s">
        <v>782</v>
      </c>
    </row>
    <row r="33" spans="4:6" x14ac:dyDescent="0.25">
      <c r="D33" s="696" t="s">
        <v>783</v>
      </c>
    </row>
    <row r="34" spans="4:6" x14ac:dyDescent="0.25">
      <c r="D34" s="696" t="s">
        <v>991</v>
      </c>
    </row>
    <row r="35" spans="4:6" x14ac:dyDescent="0.25">
      <c r="D35" s="696" t="s">
        <v>1790</v>
      </c>
    </row>
    <row r="36" spans="4:6" x14ac:dyDescent="0.25">
      <c r="D36" s="696" t="s">
        <v>1791</v>
      </c>
    </row>
    <row r="37" spans="4:6" x14ac:dyDescent="0.25">
      <c r="D37" s="696" t="s">
        <v>1789</v>
      </c>
    </row>
    <row r="39" spans="4:6" ht="15.6" x14ac:dyDescent="0.3">
      <c r="D39" s="695" t="s">
        <v>784</v>
      </c>
    </row>
    <row r="40" spans="4:6" x14ac:dyDescent="0.25">
      <c r="D40" s="696" t="s">
        <v>786</v>
      </c>
      <c r="F40" s="696" t="s">
        <v>41</v>
      </c>
    </row>
    <row r="41" spans="4:6" x14ac:dyDescent="0.25">
      <c r="D41" s="696" t="s">
        <v>785</v>
      </c>
    </row>
    <row r="44" spans="4:6" ht="15.6" x14ac:dyDescent="0.3">
      <c r="D44" s="695" t="s">
        <v>787</v>
      </c>
    </row>
    <row r="45" spans="4:6" x14ac:dyDescent="0.25">
      <c r="D45" s="696" t="s">
        <v>789</v>
      </c>
    </row>
    <row r="46" spans="4:6" x14ac:dyDescent="0.25">
      <c r="D46" s="696" t="s">
        <v>788</v>
      </c>
    </row>
    <row r="50" spans="1:10" s="248" customFormat="1" ht="24" customHeight="1" x14ac:dyDescent="0.25">
      <c r="A50" s="243"/>
      <c r="B50" s="243"/>
      <c r="C50" s="243"/>
      <c r="D50" s="243"/>
      <c r="E50" s="243"/>
      <c r="F50" s="243"/>
      <c r="G50" s="243"/>
      <c r="H50" s="243"/>
      <c r="J50" s="249"/>
    </row>
    <row r="64" spans="1:10" x14ac:dyDescent="0.25">
      <c r="J64" s="698"/>
    </row>
  </sheetData>
  <sheetProtection algorithmName="SHA-512" hashValue="qfCgvqrid3rbxdMMh1oKIyR8XM0EvaHtzaYJkjPl0BXVRohuSEnhTQA1kCz7UiF4eunVbVTf3pBJOe8SyT/4gw==" saltValue="7kZCFk90pLbNYypjaWvhgw==" spinCount="100000" sheet="1" objects="1" scenarios="1" selectLockedCells="1" selectUnlockedCells="1"/>
  <mergeCells count="1">
    <mergeCell ref="A1:J1"/>
  </mergeCells>
  <printOptions horizontalCentered="1"/>
  <pageMargins left="0.5" right="0.5" top="0.5" bottom="0.25" header="0.5" footer="0.5"/>
  <pageSetup scale="9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dimension ref="A1"/>
  <sheetViews>
    <sheetView workbookViewId="0">
      <selection activeCell="G43" sqref="G43:I44"/>
    </sheetView>
  </sheetViews>
  <sheetFormatPr defaultRowHeight="12.6"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AF391"/>
  <sheetViews>
    <sheetView topLeftCell="G1" zoomScale="70" zoomScaleNormal="70" workbookViewId="0">
      <pane ySplit="4" topLeftCell="A179" activePane="bottomLeft" state="frozen"/>
      <selection activeCell="G43" sqref="G43:I44"/>
      <selection pane="bottomLeft" activeCell="K185" sqref="K185"/>
    </sheetView>
  </sheetViews>
  <sheetFormatPr defaultRowHeight="12.6" x14ac:dyDescent="0.25"/>
  <cols>
    <col min="1" max="1" width="38" customWidth="1"/>
    <col min="2" max="2" width="35.44140625" bestFit="1" customWidth="1"/>
    <col min="3" max="3" width="26.33203125" customWidth="1"/>
    <col min="4" max="4" width="22" customWidth="1"/>
    <col min="5" max="5" width="19.88671875" customWidth="1"/>
    <col min="6" max="6" width="18.44140625" customWidth="1"/>
    <col min="7" max="7" width="25.109375" customWidth="1"/>
    <col min="8" max="8" width="22.5546875" customWidth="1"/>
    <col min="9" max="9" width="27.88671875" bestFit="1" customWidth="1"/>
    <col min="10" max="10" width="24.33203125" customWidth="1"/>
    <col min="11" max="11" width="28.109375" customWidth="1"/>
    <col min="12" max="12" width="32.44140625" customWidth="1"/>
    <col min="13" max="13" width="24.88671875" customWidth="1"/>
    <col min="14" max="14" width="19" customWidth="1"/>
    <col min="15" max="15" width="18.44140625" customWidth="1"/>
    <col min="16" max="16" width="19.88671875" customWidth="1"/>
    <col min="17" max="17" width="21" customWidth="1"/>
    <col min="18" max="18" width="17.44140625" customWidth="1"/>
    <col min="19" max="19" width="19.5546875" customWidth="1"/>
    <col min="20" max="20" width="16.88671875" customWidth="1"/>
    <col min="21" max="21" width="16.5546875" customWidth="1"/>
    <col min="22" max="22" width="16.44140625" customWidth="1"/>
    <col min="23" max="23" width="17.88671875" customWidth="1"/>
    <col min="24" max="24" width="14.109375" customWidth="1"/>
    <col min="25" max="25" width="13.5546875" customWidth="1"/>
    <col min="26" max="26" width="16" customWidth="1"/>
    <col min="27" max="27" width="4.109375" customWidth="1"/>
    <col min="28" max="28" width="11.88671875" customWidth="1"/>
    <col min="29" max="30" width="16.44140625" customWidth="1"/>
    <col min="31" max="31" width="17.5546875" customWidth="1"/>
    <col min="32" max="32" width="12" customWidth="1"/>
  </cols>
  <sheetData>
    <row r="1" spans="1:13" s="1219" customFormat="1" ht="25.8" x14ac:dyDescent="0.5">
      <c r="A1" s="1218" t="s">
        <v>1614</v>
      </c>
      <c r="D1" s="1220"/>
    </row>
    <row r="2" spans="1:13" s="1219" customFormat="1" ht="14.4" x14ac:dyDescent="0.3">
      <c r="A2" s="1221" t="s">
        <v>1615</v>
      </c>
      <c r="B2" s="1222" t="str">
        <f>'Project Information'!D4</f>
        <v>Project Name</v>
      </c>
      <c r="C2" s="1219" t="s">
        <v>1616</v>
      </c>
      <c r="D2" s="1247" t="s">
        <v>1495</v>
      </c>
      <c r="E2" s="1219" t="s">
        <v>1635</v>
      </c>
      <c r="F2" s="1248" t="s">
        <v>93</v>
      </c>
      <c r="G2" s="1219" t="s">
        <v>1651</v>
      </c>
      <c r="H2" s="1248" t="s">
        <v>1587</v>
      </c>
      <c r="I2" s="1219" t="s">
        <v>1667</v>
      </c>
      <c r="J2" s="1248" t="s">
        <v>72</v>
      </c>
      <c r="K2" s="1219" t="s">
        <v>1674</v>
      </c>
      <c r="L2" s="1248" t="s">
        <v>812</v>
      </c>
    </row>
    <row r="3" spans="1:13" s="1219" customFormat="1" ht="14.4" x14ac:dyDescent="0.3">
      <c r="A3" s="1221" t="s">
        <v>1228</v>
      </c>
      <c r="B3" s="1222" t="str">
        <f>IF('Project Information'!L4&lt;&gt;"Yes/No Drop Down",IF('Project Information'!L4="Yes","4Percent","9Percent"),"Unknown")</f>
        <v>Unknown</v>
      </c>
      <c r="C3" s="1219" t="s">
        <v>1623</v>
      </c>
      <c r="D3" s="1247" t="s">
        <v>799</v>
      </c>
      <c r="E3" s="1219" t="s">
        <v>1640</v>
      </c>
      <c r="F3" s="1248" t="s">
        <v>1636</v>
      </c>
      <c r="G3" s="1219" t="s">
        <v>1663</v>
      </c>
      <c r="H3" s="1248" t="s">
        <v>798</v>
      </c>
      <c r="I3" s="1219" t="s">
        <v>1670</v>
      </c>
      <c r="J3" s="1248" t="s">
        <v>1538</v>
      </c>
    </row>
    <row r="4" spans="1:13" s="1219" customFormat="1" ht="14.4" x14ac:dyDescent="0.3">
      <c r="A4" s="1221" t="s">
        <v>1677</v>
      </c>
      <c r="C4" s="1219" t="s">
        <v>1625</v>
      </c>
      <c r="D4" s="1247" t="s">
        <v>1618</v>
      </c>
      <c r="E4" s="1219" t="s">
        <v>1647</v>
      </c>
      <c r="F4" s="1248" t="s">
        <v>1641</v>
      </c>
      <c r="G4" s="1219" t="s">
        <v>1666</v>
      </c>
      <c r="H4" s="1248" t="s">
        <v>1652</v>
      </c>
      <c r="I4" s="1219" t="s">
        <v>1673</v>
      </c>
      <c r="J4" s="1248" t="s">
        <v>1675</v>
      </c>
    </row>
    <row r="5" spans="1:13" ht="14.4" x14ac:dyDescent="0.3">
      <c r="A5" s="1221" t="s">
        <v>1541</v>
      </c>
      <c r="B5" s="1238">
        <f>'MH Underwriting'!G5</f>
        <v>0</v>
      </c>
      <c r="E5" s="1219"/>
      <c r="F5" s="1219"/>
    </row>
    <row r="6" spans="1:13" ht="13.8" x14ac:dyDescent="0.3">
      <c r="E6" s="1219"/>
      <c r="F6" s="1219"/>
    </row>
    <row r="7" spans="1:13" ht="18" x14ac:dyDescent="0.35">
      <c r="A7" s="1224" t="s">
        <v>1616</v>
      </c>
      <c r="B7" s="1224" t="s">
        <v>1495</v>
      </c>
      <c r="C7" s="1224"/>
      <c r="D7" s="1219"/>
      <c r="E7" s="1219"/>
      <c r="F7" s="1219"/>
      <c r="G7" s="1225" t="s">
        <v>1617</v>
      </c>
      <c r="H7" s="1225" t="s">
        <v>1445</v>
      </c>
      <c r="I7" s="1225"/>
      <c r="K7" s="1226" t="s">
        <v>1668</v>
      </c>
      <c r="L7" s="1226"/>
      <c r="M7" s="1226"/>
    </row>
    <row r="8" spans="1:13" s="1197" customFormat="1" ht="13.8" x14ac:dyDescent="0.3">
      <c r="A8" s="1197" t="s">
        <v>1178</v>
      </c>
      <c r="B8" s="1197" t="s">
        <v>1229</v>
      </c>
      <c r="C8" s="1197" t="s">
        <v>1145</v>
      </c>
      <c r="E8" s="1244"/>
      <c r="F8" s="1244"/>
      <c r="G8" s="1197" t="s">
        <v>1444</v>
      </c>
      <c r="H8" s="1197" t="s">
        <v>1251</v>
      </c>
      <c r="I8" s="1197" t="s">
        <v>1145</v>
      </c>
      <c r="K8" s="1197" t="s">
        <v>1444</v>
      </c>
      <c r="L8" s="1197" t="s">
        <v>1251</v>
      </c>
      <c r="M8" s="1197" t="s">
        <v>1145</v>
      </c>
    </row>
    <row r="9" spans="1:13" ht="13.8" x14ac:dyDescent="0.3">
      <c r="A9" t="s">
        <v>1495</v>
      </c>
      <c r="B9" t="s">
        <v>191</v>
      </c>
      <c r="C9" t="str">
        <f>IF('Project Information'!D6="","",'Project Information'!D6)</f>
        <v/>
      </c>
      <c r="E9" s="1219"/>
      <c r="F9" s="1219"/>
      <c r="G9" t="s">
        <v>1445</v>
      </c>
      <c r="H9" t="s">
        <v>1446</v>
      </c>
      <c r="I9" t="str">
        <f>IF(C9="","",C9)</f>
        <v/>
      </c>
      <c r="K9" t="s">
        <v>1461</v>
      </c>
      <c r="L9" t="s">
        <v>1446</v>
      </c>
      <c r="M9" t="str">
        <f>IF(C9="","",C9)</f>
        <v/>
      </c>
    </row>
    <row r="10" spans="1:13" ht="13.8" x14ac:dyDescent="0.3">
      <c r="A10" t="s">
        <v>1495</v>
      </c>
      <c r="B10" t="s">
        <v>168</v>
      </c>
      <c r="C10" t="str">
        <f>IF('Project Information'!D8="","",'Project Information'!D8)</f>
        <v/>
      </c>
      <c r="E10" s="1219"/>
      <c r="F10" s="1219"/>
      <c r="G10" t="s">
        <v>1445</v>
      </c>
      <c r="H10" t="s">
        <v>1447</v>
      </c>
      <c r="I10" t="str">
        <f>IF(C10="Town","",C10)</f>
        <v/>
      </c>
      <c r="K10" t="s">
        <v>1461</v>
      </c>
      <c r="L10" t="s">
        <v>1447</v>
      </c>
      <c r="M10" t="str">
        <f>IF(C10="Town","",C10)</f>
        <v/>
      </c>
    </row>
    <row r="11" spans="1:13" ht="13.8" x14ac:dyDescent="0.3">
      <c r="A11" t="s">
        <v>1495</v>
      </c>
      <c r="B11" t="s">
        <v>1430</v>
      </c>
      <c r="C11" t="str">
        <f>IF('Project Information'!D10="","",'Project Information'!D10)</f>
        <v/>
      </c>
      <c r="D11" s="1219"/>
      <c r="E11" s="1219"/>
      <c r="F11" s="1219"/>
      <c r="G11" t="s">
        <v>1445</v>
      </c>
      <c r="H11" t="s">
        <v>1692</v>
      </c>
      <c r="I11" s="1198" t="str">
        <f>IF(C11="","",C11)</f>
        <v/>
      </c>
      <c r="J11" s="1198"/>
      <c r="K11" t="s">
        <v>1461</v>
      </c>
      <c r="L11" t="s">
        <v>1692</v>
      </c>
      <c r="M11" s="1198" t="str">
        <f t="shared" ref="M11:M19" si="0">IF(C11="","",C11)</f>
        <v/>
      </c>
    </row>
    <row r="12" spans="1:13" ht="13.8" x14ac:dyDescent="0.3">
      <c r="A12" t="s">
        <v>1495</v>
      </c>
      <c r="B12" t="s">
        <v>1462</v>
      </c>
      <c r="C12" t="str">
        <f>IF('Project Information'!I10="","",'Project Information'!I10)</f>
        <v/>
      </c>
      <c r="D12" s="1219"/>
      <c r="E12" s="1219"/>
      <c r="F12" s="1219"/>
      <c r="G12" s="1236"/>
      <c r="H12" s="1236"/>
      <c r="I12" s="1236"/>
      <c r="K12" t="s">
        <v>1461</v>
      </c>
      <c r="L12" t="s">
        <v>1462</v>
      </c>
      <c r="M12" t="str">
        <f>IF(C12="","",C12)</f>
        <v/>
      </c>
    </row>
    <row r="13" spans="1:13" ht="13.8" x14ac:dyDescent="0.3">
      <c r="A13" t="s">
        <v>1495</v>
      </c>
      <c r="B13" t="s">
        <v>208</v>
      </c>
      <c r="C13" t="str">
        <f>IF('Project Information'!D26="","",'Project Information'!D26)</f>
        <v>Acquisition/Rehab</v>
      </c>
      <c r="D13" s="1219"/>
      <c r="E13" s="1219"/>
      <c r="F13" s="1219"/>
      <c r="G13" t="s">
        <v>1448</v>
      </c>
      <c r="H13" t="s">
        <v>1449</v>
      </c>
      <c r="I13" s="1198" t="str">
        <f t="shared" ref="I13:I23" si="1">IF(C13="","",C13)</f>
        <v>Acquisition/Rehab</v>
      </c>
      <c r="J13" s="1198"/>
      <c r="K13" t="s">
        <v>1461</v>
      </c>
      <c r="L13" t="s">
        <v>1464</v>
      </c>
      <c r="M13" s="1198" t="str">
        <f t="shared" si="0"/>
        <v>Acquisition/Rehab</v>
      </c>
    </row>
    <row r="14" spans="1:13" ht="13.8" x14ac:dyDescent="0.3">
      <c r="A14" t="s">
        <v>1495</v>
      </c>
      <c r="B14" t="s">
        <v>1431</v>
      </c>
      <c r="C14" t="str">
        <f>IF('Project Information'!D28="","",'Project Information'!D28)</f>
        <v/>
      </c>
      <c r="D14" s="1219"/>
      <c r="E14" s="1219"/>
      <c r="F14" s="1219"/>
      <c r="G14" s="1236"/>
      <c r="H14" s="1236"/>
      <c r="I14" s="1236" t="str">
        <f t="shared" si="1"/>
        <v/>
      </c>
      <c r="K14" t="s">
        <v>1769</v>
      </c>
      <c r="L14" t="s">
        <v>1771</v>
      </c>
      <c r="M14" t="str">
        <f>Table23[[#This Row],[Value]]</f>
        <v/>
      </c>
    </row>
    <row r="15" spans="1:13" ht="13.8" x14ac:dyDescent="0.3">
      <c r="A15" t="s">
        <v>1495</v>
      </c>
      <c r="B15" t="s">
        <v>1432</v>
      </c>
      <c r="C15" t="str">
        <f>IF('Project Information'!I28="","",'Project Information'!I28)</f>
        <v/>
      </c>
      <c r="D15" s="1219"/>
      <c r="E15" s="1219"/>
      <c r="F15" s="1219"/>
      <c r="G15" s="1236"/>
      <c r="H15" s="1236"/>
      <c r="I15" s="1236" t="str">
        <f t="shared" si="1"/>
        <v/>
      </c>
      <c r="K15" t="s">
        <v>1770</v>
      </c>
      <c r="L15" t="s">
        <v>1772</v>
      </c>
      <c r="M15" t="str">
        <f>Table23[[#This Row],[Value]]</f>
        <v/>
      </c>
    </row>
    <row r="16" spans="1:13" ht="13.8" x14ac:dyDescent="0.3">
      <c r="A16" t="s">
        <v>1495</v>
      </c>
      <c r="B16" t="s">
        <v>1433</v>
      </c>
      <c r="C16" t="str">
        <f>IF('Project Information'!J31="Yes/No Drop Down","",'Project Information'!J31)</f>
        <v/>
      </c>
      <c r="D16" s="1219"/>
      <c r="E16" s="1219"/>
      <c r="F16" s="1219"/>
      <c r="G16" s="1236"/>
      <c r="H16" s="1236"/>
      <c r="I16" s="1236" t="str">
        <f t="shared" si="1"/>
        <v/>
      </c>
      <c r="K16" s="1236"/>
      <c r="L16" s="1236"/>
      <c r="M16" s="1236" t="str">
        <f t="shared" si="0"/>
        <v/>
      </c>
    </row>
    <row r="17" spans="1:13" ht="13.8" x14ac:dyDescent="0.3">
      <c r="A17" t="s">
        <v>1495</v>
      </c>
      <c r="B17" t="s">
        <v>1485</v>
      </c>
      <c r="C17" t="str">
        <f>'Project Information'!D50</f>
        <v>Without Federal subsidies</v>
      </c>
      <c r="D17" s="1219"/>
      <c r="E17" s="1219"/>
      <c r="F17" s="1219"/>
      <c r="G17" s="1236"/>
      <c r="H17" s="1236"/>
      <c r="I17" s="1236" t="str">
        <f t="shared" si="1"/>
        <v>Without Federal subsidies</v>
      </c>
      <c r="K17" s="1236"/>
      <c r="L17" s="1236"/>
      <c r="M17" s="1236"/>
    </row>
    <row r="18" spans="1:13" ht="13.8" x14ac:dyDescent="0.3">
      <c r="A18" t="s">
        <v>1495</v>
      </c>
      <c r="B18" t="s">
        <v>1434</v>
      </c>
      <c r="C18" t="str">
        <f>'Project Information'!B61</f>
        <v>40% of the units will be available to and occupied by households with incomes at or below 60% of the area median income</v>
      </c>
      <c r="D18" s="1219"/>
      <c r="E18" s="1219"/>
      <c r="F18" s="1219"/>
      <c r="G18" t="s">
        <v>1467</v>
      </c>
      <c r="H18" t="s">
        <v>1486</v>
      </c>
      <c r="K18" s="1236"/>
      <c r="L18" s="1236"/>
      <c r="M18" s="1236"/>
    </row>
    <row r="19" spans="1:13" ht="13.8" x14ac:dyDescent="0.3">
      <c r="A19" t="s">
        <v>1495</v>
      </c>
      <c r="B19" t="s">
        <v>209</v>
      </c>
      <c r="C19" t="str">
        <f>IF('Project Information'!E90="","",'Project Information'!E90)</f>
        <v/>
      </c>
      <c r="D19" s="1219"/>
      <c r="E19" s="1219"/>
      <c r="F19" s="1219"/>
      <c r="G19" t="s">
        <v>1445</v>
      </c>
      <c r="H19" t="s">
        <v>1468</v>
      </c>
      <c r="I19" s="1198" t="str">
        <f t="shared" si="1"/>
        <v/>
      </c>
      <c r="J19" s="1198"/>
      <c r="K19" t="s">
        <v>1461</v>
      </c>
      <c r="L19" t="s">
        <v>1451</v>
      </c>
      <c r="M19" s="1198" t="str">
        <f t="shared" si="0"/>
        <v/>
      </c>
    </row>
    <row r="20" spans="1:13" ht="13.8" x14ac:dyDescent="0.3">
      <c r="A20" t="s">
        <v>1495</v>
      </c>
      <c r="B20" t="s">
        <v>1435</v>
      </c>
      <c r="C20" t="str">
        <f>IF('Project Information'!E98="This is a drop down menu","",'Project Information'!E98)</f>
        <v/>
      </c>
      <c r="D20" s="1219"/>
      <c r="E20" s="1219"/>
      <c r="F20" s="1219"/>
      <c r="G20" s="1236"/>
      <c r="H20" s="1236"/>
      <c r="I20" s="1236"/>
      <c r="K20" t="s">
        <v>1461</v>
      </c>
      <c r="L20" t="s">
        <v>1465</v>
      </c>
      <c r="M20" s="1198" t="str">
        <f>IF(C20="","",C20)</f>
        <v/>
      </c>
    </row>
    <row r="21" spans="1:13" ht="13.8" x14ac:dyDescent="0.3">
      <c r="A21" t="s">
        <v>1495</v>
      </c>
      <c r="B21" t="s">
        <v>1463</v>
      </c>
      <c r="C21" s="1217" t="str">
        <f>IF('Project Information'!I98="","",'Project Information'!I98)</f>
        <v/>
      </c>
      <c r="D21" s="1219"/>
      <c r="E21" s="1219"/>
      <c r="F21" s="1219"/>
      <c r="G21" s="1236"/>
      <c r="H21" s="1236"/>
      <c r="I21" s="1236"/>
      <c r="K21" t="s">
        <v>1461</v>
      </c>
      <c r="L21" t="s">
        <v>1466</v>
      </c>
      <c r="M21" s="1217" t="str">
        <f>IF(C21="","",C21)</f>
        <v/>
      </c>
    </row>
    <row r="22" spans="1:13" ht="13.8" x14ac:dyDescent="0.3">
      <c r="A22" t="s">
        <v>1495</v>
      </c>
      <c r="B22" t="s">
        <v>1436</v>
      </c>
      <c r="C22" t="str">
        <f>IF('Project Information'!E102="","",'Project Information'!E102)</f>
        <v/>
      </c>
      <c r="D22" s="1219"/>
      <c r="E22" s="1219"/>
      <c r="F22" s="1219"/>
      <c r="G22" t="s">
        <v>1445</v>
      </c>
      <c r="H22" t="s">
        <v>1459</v>
      </c>
      <c r="I22" t="str">
        <f ca="1">IF(C22="","",YEAR(TODAY()) - C22)</f>
        <v/>
      </c>
      <c r="K22" s="1236"/>
      <c r="L22" s="1236"/>
      <c r="M22" s="1236"/>
    </row>
    <row r="23" spans="1:13" ht="13.8" x14ac:dyDescent="0.3">
      <c r="A23" t="s">
        <v>1495</v>
      </c>
      <c r="B23" t="s">
        <v>1437</v>
      </c>
      <c r="C23" t="str">
        <f>IF('Project Information'!J104="Yes/No Drop Down","",'Project Information'!J104)</f>
        <v/>
      </c>
      <c r="D23" s="1219"/>
      <c r="E23" s="1219"/>
      <c r="F23" s="1219"/>
      <c r="G23" s="1236"/>
      <c r="H23" s="1236"/>
      <c r="I23" s="1236" t="str">
        <f t="shared" si="1"/>
        <v/>
      </c>
      <c r="K23" s="1236"/>
      <c r="L23" s="1236"/>
      <c r="M23" s="1236"/>
    </row>
    <row r="24" spans="1:13" ht="13.8" x14ac:dyDescent="0.3">
      <c r="A24" t="s">
        <v>1495</v>
      </c>
      <c r="B24" t="s">
        <v>1438</v>
      </c>
      <c r="C24" t="str">
        <f>IF('Project Information'!J105="Yes/No Drop Down","",'Project Information'!J105)</f>
        <v/>
      </c>
      <c r="D24" s="1219"/>
      <c r="E24" s="1219"/>
      <c r="F24" s="1219"/>
      <c r="G24" t="s">
        <v>1445</v>
      </c>
      <c r="H24" t="s">
        <v>1460</v>
      </c>
      <c r="I24" t="str">
        <f>IF(C24="","",IF(C24="Yes", "True", IF(C24="No", "False","")))</f>
        <v/>
      </c>
      <c r="K24" s="1236"/>
      <c r="L24" s="1236"/>
      <c r="M24" s="1236"/>
    </row>
    <row r="25" spans="1:13" ht="13.8" x14ac:dyDescent="0.3">
      <c r="A25" t="s">
        <v>1495</v>
      </c>
      <c r="B25" t="s">
        <v>1439</v>
      </c>
      <c r="C25" t="str">
        <f>IF('Project Information'!J110="Yes/No Drop Down","",'Project Information'!J110)</f>
        <v/>
      </c>
      <c r="D25" s="1219"/>
      <c r="E25" s="1219"/>
      <c r="F25" s="1219"/>
      <c r="G25" s="1236"/>
      <c r="H25" s="1236"/>
      <c r="I25" s="1236"/>
      <c r="K25" s="1236"/>
      <c r="L25" s="1236"/>
      <c r="M25" s="1236"/>
    </row>
    <row r="26" spans="1:13" ht="13.8" x14ac:dyDescent="0.3">
      <c r="A26" t="s">
        <v>1495</v>
      </c>
      <c r="B26" t="s">
        <v>1443</v>
      </c>
      <c r="C26" t="str">
        <f>IF('Project Information'!G115="","",'Project Information'!G115)</f>
        <v/>
      </c>
      <c r="D26" s="1219"/>
      <c r="E26" s="1219"/>
      <c r="F26" s="1219"/>
      <c r="G26" s="1236"/>
      <c r="H26" s="1236"/>
      <c r="I26" s="1236"/>
      <c r="K26" s="1236"/>
      <c r="L26" s="1236"/>
      <c r="M26" s="1236"/>
    </row>
    <row r="27" spans="1:13" ht="13.8" x14ac:dyDescent="0.3">
      <c r="A27" t="s">
        <v>1495</v>
      </c>
      <c r="B27" t="s">
        <v>210</v>
      </c>
      <c r="C27" t="str">
        <f>IF('Project Information'!G117="","",'Project Information'!G117)</f>
        <v/>
      </c>
      <c r="D27" s="1219"/>
      <c r="E27" s="1219"/>
      <c r="F27" s="1219"/>
      <c r="G27" s="1236"/>
      <c r="H27" s="1236"/>
      <c r="I27" s="1236"/>
      <c r="K27" s="1236"/>
      <c r="L27" s="1236"/>
      <c r="M27" s="1236"/>
    </row>
    <row r="28" spans="1:13" ht="13.8" x14ac:dyDescent="0.3">
      <c r="A28" t="s">
        <v>1495</v>
      </c>
      <c r="B28" t="s">
        <v>1440</v>
      </c>
      <c r="C28" t="str">
        <f>IF('Project Information'!G119="","",'Project Information'!G119)</f>
        <v/>
      </c>
      <c r="D28" s="1219"/>
      <c r="E28" s="1219"/>
      <c r="F28" s="1219"/>
      <c r="G28" s="1236"/>
      <c r="H28" s="1236"/>
      <c r="I28" s="1236"/>
      <c r="K28" s="1236"/>
      <c r="L28" s="1236"/>
      <c r="M28" s="1236"/>
    </row>
    <row r="29" spans="1:13" ht="13.8" x14ac:dyDescent="0.3">
      <c r="A29" t="s">
        <v>1495</v>
      </c>
      <c r="B29" t="s">
        <v>1441</v>
      </c>
      <c r="C29" t="str">
        <f>IF('Project Information'!G121="","",'Project Information'!G121)</f>
        <v/>
      </c>
      <c r="D29" s="1219"/>
      <c r="E29" s="1219"/>
      <c r="F29" s="1219"/>
      <c r="G29" s="1236"/>
      <c r="H29" s="1236"/>
      <c r="I29" s="1236"/>
      <c r="K29" s="1236"/>
      <c r="L29" s="1236"/>
      <c r="M29" s="1236"/>
    </row>
    <row r="30" spans="1:13" ht="13.8" x14ac:dyDescent="0.3">
      <c r="A30" t="s">
        <v>1495</v>
      </c>
      <c r="B30" t="s">
        <v>1442</v>
      </c>
      <c r="C30" t="str">
        <f>IF('Project Information'!G123="","",'Project Information'!G123)</f>
        <v/>
      </c>
      <c r="D30" s="1219"/>
      <c r="E30" s="1219"/>
      <c r="F30" s="1219"/>
      <c r="G30" s="1236"/>
      <c r="H30" s="1236"/>
      <c r="I30" s="1236"/>
      <c r="K30" s="1236"/>
      <c r="L30" s="1236"/>
      <c r="M30" s="1236"/>
    </row>
    <row r="33" spans="1:20" ht="18" x14ac:dyDescent="0.35">
      <c r="G33" s="1225" t="s">
        <v>1617</v>
      </c>
      <c r="H33" s="1225" t="s">
        <v>1669</v>
      </c>
      <c r="I33" s="1225"/>
      <c r="J33" s="1225"/>
      <c r="K33" s="1225"/>
      <c r="L33" s="1225"/>
    </row>
    <row r="34" spans="1:20" s="1197" customFormat="1" x14ac:dyDescent="0.25">
      <c r="G34" s="1197" t="s">
        <v>1671</v>
      </c>
      <c r="H34" s="1197" t="s">
        <v>1546</v>
      </c>
      <c r="I34" s="1197" t="s">
        <v>1490</v>
      </c>
      <c r="J34" s="1197" t="s">
        <v>1487</v>
      </c>
      <c r="K34" s="1197" t="s">
        <v>1488</v>
      </c>
      <c r="L34" s="1197" t="s">
        <v>1489</v>
      </c>
    </row>
    <row r="35" spans="1:20" x14ac:dyDescent="0.25">
      <c r="G35" t="s">
        <v>1493</v>
      </c>
      <c r="H35">
        <v>1</v>
      </c>
      <c r="I35" s="1198" t="str">
        <f>IF(OR(LEFT(C18,2)="20",LEFT(C18,2)="40"),"Tax Credit", IF(LEFT(C18,16)="Income Averaging","Tax Credit Average Income",""))</f>
        <v>Tax Credit</v>
      </c>
      <c r="J35">
        <f>IF(LEFT(C18,2)="20",0.2,IF(OR(LEFT(C18,2)="40",LEFT(C18,16)="Income Averaging"),0.4,""))</f>
        <v>0.4</v>
      </c>
      <c r="L35">
        <f>IF(LEFT(C18,2)="20",0.5,IF(OR(LEFT(C18,2)="40",LEFT(C18,16)="Income Averaging"),0.6,""))</f>
        <v>0.6</v>
      </c>
    </row>
    <row r="36" spans="1:20" x14ac:dyDescent="0.25">
      <c r="G36" t="s">
        <v>1580</v>
      </c>
      <c r="H36">
        <v>2</v>
      </c>
      <c r="I36" s="1198" t="str">
        <f>IF($B$3="9Percent","Tax Credit","")</f>
        <v/>
      </c>
      <c r="J36" t="str">
        <f>IF($B$3="9Percent",0.6,"")</f>
        <v/>
      </c>
      <c r="L36" t="str">
        <f>IF($B$3="9Percent",0.5,"")</f>
        <v/>
      </c>
    </row>
    <row r="37" spans="1:20" x14ac:dyDescent="0.25">
      <c r="G37" t="s">
        <v>1581</v>
      </c>
      <c r="H37">
        <v>3</v>
      </c>
      <c r="I37" s="1198" t="str">
        <f>IF('MH Underwriting'!G6&lt;&gt;0,"Home","")</f>
        <v/>
      </c>
      <c r="K37" t="str">
        <f>IF('MH Underwriting'!G6&lt;&gt;0,'MH Underwriting'!G6,"")</f>
        <v/>
      </c>
      <c r="L37" t="str">
        <f>IF('MH Underwriting'!G6&lt;&gt;0,0.5,"")</f>
        <v/>
      </c>
    </row>
    <row r="38" spans="1:20" x14ac:dyDescent="0.25">
      <c r="G38" t="s">
        <v>1582</v>
      </c>
      <c r="H38">
        <v>4</v>
      </c>
      <c r="I38" s="1198" t="str">
        <f>IF('MH Underwriting'!G7&lt;&gt;0,"Home","")</f>
        <v/>
      </c>
      <c r="K38" t="str">
        <f>IF('MH Underwriting'!G7&lt;&gt;0,'MH Underwriting'!G7,"")</f>
        <v/>
      </c>
      <c r="L38" t="str">
        <f>IF('MH Underwriting'!G7&lt;&gt;0,0.5,"")</f>
        <v/>
      </c>
    </row>
    <row r="39" spans="1:20" x14ac:dyDescent="0.25">
      <c r="H39" s="1198"/>
    </row>
    <row r="40" spans="1:20" x14ac:dyDescent="0.25">
      <c r="H40" s="1198"/>
    </row>
    <row r="42" spans="1:20" s="1223" customFormat="1" ht="18" x14ac:dyDescent="0.35">
      <c r="A42" s="1224" t="s">
        <v>1623</v>
      </c>
      <c r="B42" s="1224" t="s">
        <v>799</v>
      </c>
      <c r="C42" s="1224"/>
      <c r="D42" s="1224"/>
      <c r="E42" s="1227"/>
      <c r="G42" s="1225" t="s">
        <v>1617</v>
      </c>
      <c r="H42" s="1225" t="s">
        <v>1620</v>
      </c>
      <c r="I42" s="1225"/>
      <c r="J42" s="1225"/>
      <c r="K42" s="1225"/>
      <c r="L42" s="1225"/>
      <c r="M42" s="1225"/>
      <c r="N42" s="1227"/>
      <c r="O42" s="1226" t="s">
        <v>1621</v>
      </c>
      <c r="P42" s="1226"/>
      <c r="Q42" s="1226"/>
      <c r="R42" s="1226"/>
      <c r="S42" s="1226"/>
      <c r="T42" s="1226"/>
    </row>
    <row r="43" spans="1:20" s="1197" customFormat="1" x14ac:dyDescent="0.25">
      <c r="A43" s="1259" t="s">
        <v>1183</v>
      </c>
      <c r="B43" s="1259" t="s">
        <v>1146</v>
      </c>
      <c r="C43" s="1259" t="s">
        <v>1178</v>
      </c>
      <c r="D43" s="1259" t="s">
        <v>1145</v>
      </c>
      <c r="G43" s="1259" t="s">
        <v>1622</v>
      </c>
      <c r="H43" s="1259" t="s">
        <v>1179</v>
      </c>
      <c r="I43" s="1259" t="s">
        <v>197</v>
      </c>
      <c r="J43" s="1259" t="s">
        <v>1180</v>
      </c>
      <c r="K43" s="1259" t="s">
        <v>1181</v>
      </c>
      <c r="L43" s="1259" t="s">
        <v>1182</v>
      </c>
      <c r="M43" s="1259" t="s">
        <v>1708</v>
      </c>
      <c r="O43" s="1259" t="s">
        <v>1179</v>
      </c>
      <c r="P43" s="1259" t="s">
        <v>197</v>
      </c>
      <c r="Q43" s="1259" t="s">
        <v>1180</v>
      </c>
      <c r="R43" s="1259" t="s">
        <v>1181</v>
      </c>
      <c r="S43" s="1259" t="s">
        <v>1182</v>
      </c>
      <c r="T43" s="1266" t="s">
        <v>1708</v>
      </c>
    </row>
    <row r="44" spans="1:20" s="1197" customFormat="1" x14ac:dyDescent="0.25">
      <c r="A44" s="1251" t="s">
        <v>307</v>
      </c>
      <c r="B44" s="1251" t="s">
        <v>1693</v>
      </c>
      <c r="C44" s="1251" t="s">
        <v>1177</v>
      </c>
      <c r="D44" s="1251" t="str">
        <f>IF('Applicant Information'!E4="","",'Applicant Information'!E4)</f>
        <v>Name of Partnership</v>
      </c>
      <c r="G44" s="1262" t="s">
        <v>1697</v>
      </c>
      <c r="H44" s="1268" t="str">
        <f>IF(D44="","",A44)</f>
        <v>Applicant</v>
      </c>
      <c r="I44" s="1262" t="str">
        <f>IF(H44="","",D44)</f>
        <v>Name of Partnership</v>
      </c>
      <c r="J44" s="1268" t="str">
        <f>IF(H44="","","Company")</f>
        <v>Company</v>
      </c>
      <c r="K44" s="1262" t="str">
        <f>IF(H44="","",D46)</f>
        <v/>
      </c>
      <c r="L44" s="1262" t="str">
        <f>IF(H44="","",D47)</f>
        <v/>
      </c>
      <c r="M44" s="1262" t="str">
        <f t="shared" ref="M44:M54" si="2">IF(H44="","",SUBSTITUTE(D45,"-",""))</f>
        <v/>
      </c>
      <c r="O44" s="1268" t="str">
        <f>IF(D44="","",A44)</f>
        <v>Applicant</v>
      </c>
      <c r="P44" s="1262" t="str">
        <f>IF(O44="","",D44)</f>
        <v>Name of Partnership</v>
      </c>
      <c r="Q44" s="1268" t="str">
        <f>IF(O44="","","Company")</f>
        <v>Company</v>
      </c>
      <c r="R44" s="1262" t="str">
        <f>IF(O44="","",D46)</f>
        <v/>
      </c>
      <c r="S44" s="1262" t="str">
        <f>IF(O44="","",D47)</f>
        <v/>
      </c>
      <c r="T44" s="1197" t="str">
        <f t="shared" ref="T44:T54" si="3">IF(O44="","",SUBSTITUTE(D45,"-",""))</f>
        <v/>
      </c>
    </row>
    <row r="45" spans="1:20" s="1197" customFormat="1" x14ac:dyDescent="0.25">
      <c r="A45" s="1251"/>
      <c r="B45" s="1251" t="s">
        <v>1696</v>
      </c>
      <c r="C45" s="1251" t="s">
        <v>1177</v>
      </c>
      <c r="D45" s="1251" t="str">
        <f>IF('Applicant Information'!G6="","",'Applicant Information'!G6)</f>
        <v/>
      </c>
      <c r="G45" s="1262" t="s">
        <v>1698</v>
      </c>
      <c r="H45" s="1268" t="str">
        <f>IF(D48="","",A48)</f>
        <v/>
      </c>
      <c r="I45" s="1262" t="str">
        <f>IF(H45="","",D48)</f>
        <v/>
      </c>
      <c r="J45" s="1268" t="str">
        <f>IF(H45="","","Company")</f>
        <v/>
      </c>
      <c r="K45" s="1262" t="str">
        <f>IF(H45="","",D49)</f>
        <v/>
      </c>
      <c r="L45" s="1262" t="str">
        <f>IF(H45="","",D50)</f>
        <v/>
      </c>
      <c r="M45" s="1267" t="str">
        <f t="shared" si="2"/>
        <v/>
      </c>
      <c r="N45"/>
      <c r="O45" s="1268" t="str">
        <f>IF(D48="","",A48)</f>
        <v/>
      </c>
      <c r="P45" s="1262" t="str">
        <f>IF(O45="","",D48)</f>
        <v/>
      </c>
      <c r="Q45" s="1268" t="str">
        <f t="shared" ref="Q45:Q52" si="4">IF(O45="","","Company")</f>
        <v/>
      </c>
      <c r="R45" s="1262" t="str">
        <f>IF(O45="","",D49)</f>
        <v/>
      </c>
      <c r="S45" s="1262" t="str">
        <f>IF(O45="","",D50)</f>
        <v/>
      </c>
      <c r="T45" s="1269" t="str">
        <f t="shared" si="3"/>
        <v/>
      </c>
    </row>
    <row r="46" spans="1:20" s="1197" customFormat="1" x14ac:dyDescent="0.25">
      <c r="A46" s="1251"/>
      <c r="B46" s="1251" t="s">
        <v>1694</v>
      </c>
      <c r="C46" s="1251" t="s">
        <v>1177</v>
      </c>
      <c r="D46" s="1251" t="str">
        <f>IF('Applicant Information'!E16="","",'Applicant Information'!E16)</f>
        <v/>
      </c>
      <c r="G46" s="1262" t="s">
        <v>1699</v>
      </c>
      <c r="H46" s="1268" t="str">
        <f>IF(D51="","",A51)</f>
        <v/>
      </c>
      <c r="I46" s="1262" t="str">
        <f>IF(H46="","",D51)</f>
        <v/>
      </c>
      <c r="J46" s="1268" t="str">
        <f t="shared" ref="J46:J52" si="5">IF(H46="","","Company")</f>
        <v/>
      </c>
      <c r="K46" s="1262" t="str">
        <f>IF(H46="","",D52)</f>
        <v/>
      </c>
      <c r="L46" s="1262" t="str">
        <f>IF(H46="","",D53)</f>
        <v/>
      </c>
      <c r="M46" s="1267" t="str">
        <f t="shared" si="2"/>
        <v/>
      </c>
      <c r="N46"/>
      <c r="O46" s="1268" t="str">
        <f>IF(D51="","",A51)</f>
        <v/>
      </c>
      <c r="P46" s="1262" t="str">
        <f>IF(O46="","",D51)</f>
        <v/>
      </c>
      <c r="Q46" s="1268" t="str">
        <f t="shared" si="4"/>
        <v/>
      </c>
      <c r="R46" s="1262" t="str">
        <f>IF(O46="","",D52)</f>
        <v/>
      </c>
      <c r="S46" s="1262" t="str">
        <f>IF(O46="","",D53)</f>
        <v/>
      </c>
      <c r="T46" s="1269" t="str">
        <f t="shared" si="3"/>
        <v/>
      </c>
    </row>
    <row r="47" spans="1:20" x14ac:dyDescent="0.25">
      <c r="A47" s="1251"/>
      <c r="B47" s="1251" t="s">
        <v>1695</v>
      </c>
      <c r="C47" s="1251" t="s">
        <v>1177</v>
      </c>
      <c r="D47" s="1251" t="str">
        <f>IF('Applicant Information'!E14="","",'Applicant Information'!E14)</f>
        <v/>
      </c>
      <c r="G47" s="1262" t="s">
        <v>1700</v>
      </c>
      <c r="H47" s="1268" t="str">
        <f>IF(D54="","",A54)</f>
        <v/>
      </c>
      <c r="I47" s="1262" t="str">
        <f>IF(H47="","",D54)</f>
        <v/>
      </c>
      <c r="J47" s="1268" t="str">
        <f t="shared" si="5"/>
        <v/>
      </c>
      <c r="K47" s="1262" t="str">
        <f>IF(H47="","",D55)</f>
        <v/>
      </c>
      <c r="L47" s="1262" t="str">
        <f>IF(H47="","",D56)</f>
        <v/>
      </c>
      <c r="M47" s="1267" t="str">
        <f t="shared" si="2"/>
        <v/>
      </c>
      <c r="O47" s="1268" t="str">
        <f>IF(D54="","",A54)</f>
        <v/>
      </c>
      <c r="P47" s="1262" t="str">
        <f>IF(O47="","",D54)</f>
        <v/>
      </c>
      <c r="Q47" s="1268" t="str">
        <f t="shared" si="4"/>
        <v/>
      </c>
      <c r="R47" s="1262" t="str">
        <f>IF(O47="","",D55)</f>
        <v/>
      </c>
      <c r="S47" s="1262" t="str">
        <f>IF(O47="","",D56)</f>
        <v/>
      </c>
      <c r="T47" s="1236" t="str">
        <f t="shared" si="3"/>
        <v/>
      </c>
    </row>
    <row r="48" spans="1:20" x14ac:dyDescent="0.25">
      <c r="A48" s="1251" t="s">
        <v>1287</v>
      </c>
      <c r="B48" s="1251" t="s">
        <v>1147</v>
      </c>
      <c r="C48" s="1251" t="s">
        <v>1177</v>
      </c>
      <c r="D48" s="1251" t="str">
        <f>IF('Applicant Information'!E47="","",'Applicant Information'!E47)</f>
        <v/>
      </c>
      <c r="G48" s="1262" t="s">
        <v>1701</v>
      </c>
      <c r="H48" s="1268" t="str">
        <f>IF(D57="","",A57)</f>
        <v/>
      </c>
      <c r="I48" s="1262" t="str">
        <f>IF(H48="","",D57)</f>
        <v/>
      </c>
      <c r="J48" s="1268" t="str">
        <f t="shared" si="5"/>
        <v/>
      </c>
      <c r="K48" s="1262" t="str">
        <f>IF(H48="","",D58)</f>
        <v/>
      </c>
      <c r="L48" s="1262" t="str">
        <f>IF(H48="","",D59)</f>
        <v/>
      </c>
      <c r="M48" s="1267" t="str">
        <f t="shared" si="2"/>
        <v/>
      </c>
      <c r="O48" s="1268" t="str">
        <f>IF(D57="","",A57)</f>
        <v/>
      </c>
      <c r="P48" s="1262" t="str">
        <f>IF(O48="","",D57)</f>
        <v/>
      </c>
      <c r="Q48" s="1268" t="str">
        <f t="shared" si="4"/>
        <v/>
      </c>
      <c r="R48" s="1262" t="str">
        <f>IF(O48="","",D58)</f>
        <v/>
      </c>
      <c r="S48" s="1262" t="str">
        <f>IF(O48="","",D59)</f>
        <v/>
      </c>
      <c r="T48" s="1236" t="str">
        <f t="shared" si="3"/>
        <v/>
      </c>
    </row>
    <row r="49" spans="1:20" x14ac:dyDescent="0.25">
      <c r="A49" s="1251"/>
      <c r="B49" s="1251" t="s">
        <v>1148</v>
      </c>
      <c r="C49" s="1251" t="s">
        <v>1177</v>
      </c>
      <c r="D49" s="1251" t="str">
        <f>IF('Applicant Information'!I47="","",'Applicant Information'!I47)</f>
        <v/>
      </c>
      <c r="G49" s="1262" t="s">
        <v>1702</v>
      </c>
      <c r="H49" s="1268" t="str">
        <f>IF(D60="","",A60)</f>
        <v/>
      </c>
      <c r="I49" s="1262" t="str">
        <f>IF(H49="","",D60)</f>
        <v/>
      </c>
      <c r="J49" s="1268" t="str">
        <f t="shared" si="5"/>
        <v/>
      </c>
      <c r="K49" s="1262" t="str">
        <f>IF(H49="","",D61)</f>
        <v/>
      </c>
      <c r="L49" s="1262" t="str">
        <f>IF(H49="","",D62)</f>
        <v/>
      </c>
      <c r="M49" s="1267" t="str">
        <f t="shared" si="2"/>
        <v/>
      </c>
      <c r="O49" s="1268" t="str">
        <f>IF(D60="","",A60)</f>
        <v/>
      </c>
      <c r="P49" s="1262" t="str">
        <f>IF(O49="","",D60)</f>
        <v/>
      </c>
      <c r="Q49" s="1268" t="str">
        <f t="shared" si="4"/>
        <v/>
      </c>
      <c r="R49" s="1262" t="str">
        <f>IF(O49="","",D61)</f>
        <v/>
      </c>
      <c r="S49" s="1262" t="str">
        <f>IF(O49="","",D62)</f>
        <v/>
      </c>
      <c r="T49" s="1236" t="str">
        <f t="shared" si="3"/>
        <v/>
      </c>
    </row>
    <row r="50" spans="1:20" x14ac:dyDescent="0.25">
      <c r="A50" s="1251"/>
      <c r="B50" s="1251" t="s">
        <v>1149</v>
      </c>
      <c r="C50" s="1251" t="s">
        <v>1177</v>
      </c>
      <c r="D50" s="1251" t="str">
        <f>IF('Applicant Information'!L47="","",'Applicant Information'!L47)</f>
        <v/>
      </c>
      <c r="G50" s="1262" t="s">
        <v>1703</v>
      </c>
      <c r="H50" s="1268" t="str">
        <f>IF(D63="","",A63)</f>
        <v/>
      </c>
      <c r="I50" s="1262" t="str">
        <f>IF(H50="","",D63)</f>
        <v/>
      </c>
      <c r="J50" s="1268" t="str">
        <f t="shared" si="5"/>
        <v/>
      </c>
      <c r="K50" s="1262" t="str">
        <f>IF(H50="","",D64)</f>
        <v/>
      </c>
      <c r="L50" s="1262" t="str">
        <f>IF(H50="","",D65)</f>
        <v/>
      </c>
      <c r="M50" s="1267" t="str">
        <f t="shared" si="2"/>
        <v/>
      </c>
      <c r="O50" s="1268" t="str">
        <f>IF(D63="","",A63)</f>
        <v/>
      </c>
      <c r="P50" s="1262" t="str">
        <f>IF(O50="","",D63)</f>
        <v/>
      </c>
      <c r="Q50" s="1268" t="str">
        <f t="shared" si="4"/>
        <v/>
      </c>
      <c r="R50" s="1262" t="str">
        <f>IF(O50="","",D64)</f>
        <v/>
      </c>
      <c r="S50" s="1262" t="str">
        <f>IF(O50="","",D65)</f>
        <v/>
      </c>
      <c r="T50" s="1236" t="str">
        <f t="shared" si="3"/>
        <v/>
      </c>
    </row>
    <row r="51" spans="1:20" x14ac:dyDescent="0.25">
      <c r="A51" s="1251" t="s">
        <v>199</v>
      </c>
      <c r="B51" s="1251" t="s">
        <v>1150</v>
      </c>
      <c r="C51" s="1251" t="s">
        <v>1177</v>
      </c>
      <c r="D51" s="1251" t="str">
        <f>IF('Applicant Information'!E49="","",'Applicant Information'!E49)</f>
        <v/>
      </c>
      <c r="G51" s="1262" t="s">
        <v>1704</v>
      </c>
      <c r="H51" s="1268" t="str">
        <f>IF(D66="","",A66)</f>
        <v/>
      </c>
      <c r="I51" s="1262" t="str">
        <f>IF(H51="","",D66)</f>
        <v/>
      </c>
      <c r="J51" s="1268" t="str">
        <f t="shared" si="5"/>
        <v/>
      </c>
      <c r="K51" s="1262" t="str">
        <f>IF(H51="","",D67)</f>
        <v/>
      </c>
      <c r="L51" s="1262" t="str">
        <f>IF(H51="","",D68)</f>
        <v/>
      </c>
      <c r="M51" s="1267" t="str">
        <f t="shared" si="2"/>
        <v/>
      </c>
      <c r="O51" s="1268" t="str">
        <f>IF(D66="","",A66)</f>
        <v/>
      </c>
      <c r="P51" s="1262" t="str">
        <f>IF(O51="","",D66)</f>
        <v/>
      </c>
      <c r="Q51" s="1268" t="str">
        <f t="shared" si="4"/>
        <v/>
      </c>
      <c r="R51" s="1262" t="str">
        <f>IF(O51="","",D67)</f>
        <v/>
      </c>
      <c r="S51" s="1262" t="str">
        <f>IF(O51="","",D68)</f>
        <v/>
      </c>
      <c r="T51" s="1236" t="str">
        <f t="shared" si="3"/>
        <v/>
      </c>
    </row>
    <row r="52" spans="1:20" x14ac:dyDescent="0.25">
      <c r="A52" s="1251"/>
      <c r="B52" s="1251" t="s">
        <v>1151</v>
      </c>
      <c r="C52" s="1251" t="s">
        <v>1177</v>
      </c>
      <c r="D52" s="1251" t="str">
        <f>IF('Applicant Information'!I49="","",'Applicant Information'!I49)</f>
        <v/>
      </c>
      <c r="G52" s="1262" t="s">
        <v>1705</v>
      </c>
      <c r="H52" s="1268" t="str">
        <f>IF(D69="","",A69)</f>
        <v/>
      </c>
      <c r="I52" s="1262" t="str">
        <f>IF(H52="","",D69)</f>
        <v/>
      </c>
      <c r="J52" s="1268" t="str">
        <f t="shared" si="5"/>
        <v/>
      </c>
      <c r="K52" s="1262" t="str">
        <f>IF(H52="","",D70)</f>
        <v/>
      </c>
      <c r="L52" s="1262" t="str">
        <f>IF(H52="","",D71)</f>
        <v/>
      </c>
      <c r="M52" s="1267" t="str">
        <f t="shared" si="2"/>
        <v/>
      </c>
      <c r="O52" s="1268" t="str">
        <f>IF(D69="","",A69)</f>
        <v/>
      </c>
      <c r="P52" s="1262" t="str">
        <f>IF(O52="","",D69)</f>
        <v/>
      </c>
      <c r="Q52" s="1268" t="str">
        <f t="shared" si="4"/>
        <v/>
      </c>
      <c r="R52" s="1262" t="str">
        <f>IF(O52="","",D70)</f>
        <v/>
      </c>
      <c r="S52" s="1262" t="str">
        <f>IF(O52="","",D71)</f>
        <v/>
      </c>
      <c r="T52" s="1236" t="str">
        <f t="shared" si="3"/>
        <v/>
      </c>
    </row>
    <row r="53" spans="1:20" x14ac:dyDescent="0.25">
      <c r="A53" s="1251"/>
      <c r="B53" s="1251" t="s">
        <v>1152</v>
      </c>
      <c r="C53" s="1251" t="s">
        <v>1177</v>
      </c>
      <c r="D53" s="1251" t="str">
        <f>IF('Applicant Information'!L49="","",'Applicant Information'!L49)</f>
        <v/>
      </c>
      <c r="G53" s="1262" t="s">
        <v>1706</v>
      </c>
      <c r="H53" s="1268" t="str">
        <f>IF(D72="","",A72)</f>
        <v/>
      </c>
      <c r="I53" s="1262" t="str">
        <f>IF(H53="","",D72)</f>
        <v/>
      </c>
      <c r="J53" s="1268" t="str">
        <f>IF(H53="","","Company")</f>
        <v/>
      </c>
      <c r="K53" s="1262" t="str">
        <f>IF(H53="","",D73)</f>
        <v/>
      </c>
      <c r="L53" s="1262" t="str">
        <f>IF(H53="","",D74)</f>
        <v/>
      </c>
      <c r="M53" s="1267" t="str">
        <f t="shared" si="2"/>
        <v/>
      </c>
      <c r="O53" s="1268" t="str">
        <f>IF(D72="","",A72)</f>
        <v/>
      </c>
      <c r="P53" s="1262" t="str">
        <f>IF(O53="","",D72)</f>
        <v/>
      </c>
      <c r="Q53" s="1268" t="str">
        <f>IF(O53="","","Company")</f>
        <v/>
      </c>
      <c r="R53" s="1262" t="str">
        <f>IF(O53="","",D73)</f>
        <v/>
      </c>
      <c r="S53" s="1262" t="str">
        <f>IF(O53="","",D74)</f>
        <v/>
      </c>
      <c r="T53" s="1236" t="str">
        <f t="shared" si="3"/>
        <v/>
      </c>
    </row>
    <row r="54" spans="1:20" x14ac:dyDescent="0.25">
      <c r="A54" s="1251" t="s">
        <v>1544</v>
      </c>
      <c r="B54" s="1251" t="s">
        <v>1153</v>
      </c>
      <c r="C54" s="1251" t="s">
        <v>1177</v>
      </c>
      <c r="D54" s="1251" t="str">
        <f>IF('Applicant Information'!E51="","",'Applicant Information'!E51)</f>
        <v/>
      </c>
      <c r="G54" s="1262" t="s">
        <v>1707</v>
      </c>
      <c r="H54" s="1198" t="str">
        <f>IF(D75="","",A75)</f>
        <v/>
      </c>
      <c r="I54" t="str">
        <f>IF(H54="","",D75)</f>
        <v/>
      </c>
      <c r="J54" s="1198" t="str">
        <f>IF(H54="","","Company")</f>
        <v/>
      </c>
      <c r="K54" t="str">
        <f>IF(H54="","",D76)</f>
        <v/>
      </c>
      <c r="L54" t="str">
        <f>IF(H54="","",D77)</f>
        <v/>
      </c>
      <c r="M54" s="1236" t="str">
        <f t="shared" si="2"/>
        <v/>
      </c>
      <c r="O54" s="1198" t="str">
        <f>IF(D75="","",A75)</f>
        <v/>
      </c>
      <c r="P54" t="str">
        <f>IF(O54="","",D75)</f>
        <v/>
      </c>
      <c r="Q54" s="1268" t="str">
        <f>IF(O54="","","Company")</f>
        <v/>
      </c>
      <c r="R54" t="str">
        <f>IF(O54="","",D76)</f>
        <v/>
      </c>
      <c r="S54" t="str">
        <f>IF(O54="","",D77)</f>
        <v/>
      </c>
      <c r="T54" s="1236" t="str">
        <f t="shared" si="3"/>
        <v/>
      </c>
    </row>
    <row r="55" spans="1:20" x14ac:dyDescent="0.25">
      <c r="A55" s="1251"/>
      <c r="B55" s="1251" t="s">
        <v>1154</v>
      </c>
      <c r="C55" s="1251" t="s">
        <v>1177</v>
      </c>
      <c r="D55" s="1251" t="str">
        <f>IF('Applicant Information'!I51="","",'Applicant Information'!I51)</f>
        <v/>
      </c>
    </row>
    <row r="56" spans="1:20" x14ac:dyDescent="0.25">
      <c r="A56" s="1251"/>
      <c r="B56" s="1251" t="s">
        <v>1155</v>
      </c>
      <c r="C56" s="1251" t="s">
        <v>1177</v>
      </c>
      <c r="D56" s="1251" t="str">
        <f>IF('Applicant Information'!L51="","",'Applicant Information'!L51)</f>
        <v/>
      </c>
    </row>
    <row r="57" spans="1:20" x14ac:dyDescent="0.25">
      <c r="A57" s="1251" t="s">
        <v>201</v>
      </c>
      <c r="B57" s="1251" t="s">
        <v>1156</v>
      </c>
      <c r="C57" s="1251" t="s">
        <v>1177</v>
      </c>
      <c r="D57" s="1251" t="str">
        <f>IF('Applicant Information'!E53="","",'Applicant Information'!E53)</f>
        <v/>
      </c>
    </row>
    <row r="58" spans="1:20" x14ac:dyDescent="0.25">
      <c r="A58" s="1251"/>
      <c r="B58" s="1251" t="s">
        <v>1157</v>
      </c>
      <c r="C58" s="1251" t="s">
        <v>1177</v>
      </c>
      <c r="D58" s="1251" t="str">
        <f>IF('Applicant Information'!I53="","",'Applicant Information'!I53)</f>
        <v/>
      </c>
    </row>
    <row r="59" spans="1:20" x14ac:dyDescent="0.25">
      <c r="A59" s="1251"/>
      <c r="B59" s="1251" t="s">
        <v>1158</v>
      </c>
      <c r="C59" s="1251" t="s">
        <v>1177</v>
      </c>
      <c r="D59" s="1251" t="str">
        <f>IF('Applicant Information'!L53="","",'Applicant Information'!L53)</f>
        <v/>
      </c>
    </row>
    <row r="60" spans="1:20" x14ac:dyDescent="0.25">
      <c r="A60" s="1251" t="s">
        <v>1545</v>
      </c>
      <c r="B60" s="1251" t="s">
        <v>1159</v>
      </c>
      <c r="C60" s="1251" t="s">
        <v>1177</v>
      </c>
      <c r="D60" s="1251" t="str">
        <f>IF('Applicant Information'!E55="","",'Applicant Information'!E55)</f>
        <v/>
      </c>
    </row>
    <row r="61" spans="1:20" x14ac:dyDescent="0.25">
      <c r="A61" s="1251"/>
      <c r="B61" s="1251" t="s">
        <v>1160</v>
      </c>
      <c r="C61" s="1251" t="s">
        <v>1177</v>
      </c>
      <c r="D61" s="1251" t="str">
        <f>IF('Applicant Information'!I55="","",'Applicant Information'!I55)</f>
        <v/>
      </c>
    </row>
    <row r="62" spans="1:20" x14ac:dyDescent="0.25">
      <c r="A62" s="1251"/>
      <c r="B62" s="1251" t="s">
        <v>1161</v>
      </c>
      <c r="C62" s="1251" t="s">
        <v>1177</v>
      </c>
      <c r="D62" s="1251" t="str">
        <f>IF('Applicant Information'!L55="","",'Applicant Information'!L55)</f>
        <v/>
      </c>
    </row>
    <row r="63" spans="1:20" x14ac:dyDescent="0.25">
      <c r="A63" s="1251" t="s">
        <v>203</v>
      </c>
      <c r="B63" s="1251" t="s">
        <v>1162</v>
      </c>
      <c r="C63" s="1251" t="s">
        <v>1177</v>
      </c>
      <c r="D63" s="1251" t="str">
        <f>IF('Applicant Information'!E57="","",'Applicant Information'!E57)</f>
        <v/>
      </c>
    </row>
    <row r="64" spans="1:20" x14ac:dyDescent="0.25">
      <c r="A64" s="1251"/>
      <c r="B64" s="1251" t="s">
        <v>1163</v>
      </c>
      <c r="C64" s="1251" t="s">
        <v>1177</v>
      </c>
      <c r="D64" s="1251" t="str">
        <f>IF('Applicant Information'!I57="","",'Applicant Information'!I57)</f>
        <v/>
      </c>
    </row>
    <row r="65" spans="1:11" x14ac:dyDescent="0.25">
      <c r="A65" s="1251"/>
      <c r="B65" s="1251" t="s">
        <v>1164</v>
      </c>
      <c r="C65" s="1251" t="s">
        <v>1177</v>
      </c>
      <c r="D65" s="1251" t="str">
        <f>IF('Applicant Information'!L57="","",'Applicant Information'!L57)</f>
        <v/>
      </c>
    </row>
    <row r="66" spans="1:11" x14ac:dyDescent="0.25">
      <c r="A66" s="1251" t="s">
        <v>204</v>
      </c>
      <c r="B66" s="1251" t="s">
        <v>1165</v>
      </c>
      <c r="C66" s="1251" t="s">
        <v>1177</v>
      </c>
      <c r="D66" s="1251" t="str">
        <f>IF('Applicant Information'!E59="","",'Applicant Information'!E59)</f>
        <v/>
      </c>
    </row>
    <row r="67" spans="1:11" x14ac:dyDescent="0.25">
      <c r="A67" s="1251"/>
      <c r="B67" s="1251" t="s">
        <v>1166</v>
      </c>
      <c r="C67" s="1251" t="s">
        <v>1177</v>
      </c>
      <c r="D67" s="1251" t="str">
        <f>IF('Applicant Information'!I59="","",'Applicant Information'!I59)</f>
        <v/>
      </c>
    </row>
    <row r="68" spans="1:11" x14ac:dyDescent="0.25">
      <c r="A68" s="1251"/>
      <c r="B68" s="1251" t="s">
        <v>1167</v>
      </c>
      <c r="C68" s="1251" t="s">
        <v>1177</v>
      </c>
      <c r="D68" s="1251" t="str">
        <f>IF('Applicant Information'!L59="","",'Applicant Information'!L59)</f>
        <v/>
      </c>
    </row>
    <row r="69" spans="1:11" x14ac:dyDescent="0.25">
      <c r="A69" s="1251" t="s">
        <v>166</v>
      </c>
      <c r="B69" s="1251" t="s">
        <v>1168</v>
      </c>
      <c r="C69" s="1251" t="s">
        <v>1177</v>
      </c>
      <c r="D69" s="1251" t="str">
        <f>IF('Applicant Information'!E61="","",'Applicant Information'!E61)</f>
        <v/>
      </c>
    </row>
    <row r="70" spans="1:11" x14ac:dyDescent="0.25">
      <c r="A70" s="1251"/>
      <c r="B70" s="1251" t="s">
        <v>1169</v>
      </c>
      <c r="C70" s="1251" t="s">
        <v>1177</v>
      </c>
      <c r="D70" s="1251" t="str">
        <f>IF('Applicant Information'!I61="","",'Applicant Information'!I61)</f>
        <v/>
      </c>
    </row>
    <row r="71" spans="1:11" x14ac:dyDescent="0.25">
      <c r="A71" s="1251"/>
      <c r="B71" s="1251" t="s">
        <v>1170</v>
      </c>
      <c r="C71" s="1251" t="s">
        <v>1177</v>
      </c>
      <c r="D71" s="1251" t="str">
        <f>IF('Applicant Information'!L61="","",'Applicant Information'!L61)</f>
        <v/>
      </c>
    </row>
    <row r="72" spans="1:11" x14ac:dyDescent="0.25">
      <c r="A72" s="1251" t="s">
        <v>1548</v>
      </c>
      <c r="B72" s="1251" t="s">
        <v>1171</v>
      </c>
      <c r="C72" s="1251" t="s">
        <v>1177</v>
      </c>
      <c r="D72" s="1251" t="str">
        <f>IF('Applicant Information'!E63="","",'Applicant Information'!E63)</f>
        <v/>
      </c>
    </row>
    <row r="73" spans="1:11" x14ac:dyDescent="0.25">
      <c r="A73" s="1251"/>
      <c r="B73" s="1251" t="s">
        <v>1172</v>
      </c>
      <c r="C73" s="1251" t="s">
        <v>1177</v>
      </c>
      <c r="D73" s="1251" t="str">
        <f>IF('Applicant Information'!I63="","",'Applicant Information'!I63)</f>
        <v/>
      </c>
    </row>
    <row r="74" spans="1:11" x14ac:dyDescent="0.25">
      <c r="A74" s="1251"/>
      <c r="B74" s="1251" t="s">
        <v>1173</v>
      </c>
      <c r="C74" s="1251" t="s">
        <v>1177</v>
      </c>
      <c r="D74" s="1251" t="str">
        <f>IF('Applicant Information'!L63="","",'Applicant Information'!L63)</f>
        <v/>
      </c>
    </row>
    <row r="75" spans="1:11" x14ac:dyDescent="0.25">
      <c r="A75" s="1251" t="s">
        <v>167</v>
      </c>
      <c r="B75" s="1251" t="s">
        <v>1174</v>
      </c>
      <c r="C75" s="1251" t="s">
        <v>1177</v>
      </c>
      <c r="D75" s="1251" t="str">
        <f>IF('Applicant Information'!E65="","",'Applicant Information'!E65)</f>
        <v/>
      </c>
    </row>
    <row r="76" spans="1:11" x14ac:dyDescent="0.25">
      <c r="A76" s="1251"/>
      <c r="B76" s="1251" t="s">
        <v>1175</v>
      </c>
      <c r="C76" s="1251" t="s">
        <v>1177</v>
      </c>
      <c r="D76" s="1251" t="str">
        <f>IF('Applicant Information'!I65="","",'Applicant Information'!I65)</f>
        <v/>
      </c>
    </row>
    <row r="77" spans="1:11" x14ac:dyDescent="0.25">
      <c r="A77" s="1251"/>
      <c r="B77" s="1251" t="s">
        <v>1176</v>
      </c>
      <c r="C77" s="1251" t="s">
        <v>1177</v>
      </c>
      <c r="D77" s="1251" t="str">
        <f>IF('Applicant Information'!L65="","",'Applicant Information'!L65)</f>
        <v/>
      </c>
    </row>
    <row r="79" spans="1:11" x14ac:dyDescent="0.25">
      <c r="D79" s="1194"/>
    </row>
    <row r="80" spans="1:11" ht="18" x14ac:dyDescent="0.35">
      <c r="A80" s="1224" t="s">
        <v>1625</v>
      </c>
      <c r="B80" s="1224" t="s">
        <v>1618</v>
      </c>
      <c r="C80" s="1224"/>
      <c r="D80" s="1194"/>
      <c r="E80" s="1227"/>
      <c r="F80" s="1223"/>
      <c r="G80" s="1225" t="s">
        <v>1617</v>
      </c>
      <c r="H80" s="1225" t="s">
        <v>1619</v>
      </c>
      <c r="I80" s="1225"/>
      <c r="K80" t="s">
        <v>1710</v>
      </c>
    </row>
    <row r="81" spans="1:11" s="1197" customFormat="1" x14ac:dyDescent="0.25">
      <c r="A81" s="1197" t="s">
        <v>1178</v>
      </c>
      <c r="B81" s="1197" t="s">
        <v>1229</v>
      </c>
      <c r="C81" s="1197" t="s">
        <v>1145</v>
      </c>
      <c r="D81" s="1194"/>
      <c r="G81" s="1197" t="s">
        <v>1627</v>
      </c>
      <c r="H81" s="1197" t="s">
        <v>1145</v>
      </c>
      <c r="I81" s="1197" t="s">
        <v>1251</v>
      </c>
      <c r="K81" s="1270"/>
    </row>
    <row r="82" spans="1:11" x14ac:dyDescent="0.25">
      <c r="A82" t="s">
        <v>1185</v>
      </c>
      <c r="B82" t="s">
        <v>456</v>
      </c>
      <c r="C82" s="1194">
        <f>'MH Underwriting'!P15</f>
        <v>0</v>
      </c>
      <c r="D82" s="1194"/>
      <c r="E82" s="1194"/>
      <c r="F82" s="1194"/>
      <c r="G82" t="s">
        <v>1186</v>
      </c>
      <c r="H82" s="1231">
        <f>Table2[[#This Row],[Value]]</f>
        <v>0</v>
      </c>
      <c r="I82" t="s">
        <v>1186</v>
      </c>
      <c r="K82" s="1271">
        <f>Table2[[#This Row],[Value]]</f>
        <v>0</v>
      </c>
    </row>
    <row r="83" spans="1:11" x14ac:dyDescent="0.25">
      <c r="A83" t="s">
        <v>1185</v>
      </c>
      <c r="B83" t="s">
        <v>455</v>
      </c>
      <c r="C83" s="1194">
        <f>'MH Underwriting'!P16</f>
        <v>0</v>
      </c>
      <c r="D83" s="1194"/>
      <c r="E83" s="1194"/>
      <c r="F83" s="1194"/>
      <c r="G83" t="s">
        <v>1220</v>
      </c>
      <c r="H83" s="1231">
        <f>Table2[[#This Row],[Value]]</f>
        <v>0</v>
      </c>
      <c r="I83" t="s">
        <v>1220</v>
      </c>
      <c r="K83" s="1271">
        <f>Table2[[#This Row],[Value]]</f>
        <v>0</v>
      </c>
    </row>
    <row r="84" spans="1:11" x14ac:dyDescent="0.25">
      <c r="A84" t="s">
        <v>1185</v>
      </c>
      <c r="B84" t="s">
        <v>454</v>
      </c>
      <c r="C84" s="1194">
        <f>'MH Underwriting'!P17</f>
        <v>0</v>
      </c>
      <c r="D84" s="1194"/>
      <c r="E84" s="1194"/>
      <c r="F84" s="1194"/>
      <c r="G84" t="s">
        <v>1187</v>
      </c>
      <c r="H84" s="1231">
        <f>Table2[[#This Row],[Value]]</f>
        <v>0</v>
      </c>
      <c r="I84" t="s">
        <v>1187</v>
      </c>
      <c r="K84" s="1271">
        <f>Table2[[#This Row],[Value]]</f>
        <v>0</v>
      </c>
    </row>
    <row r="85" spans="1:11" x14ac:dyDescent="0.25">
      <c r="A85" t="s">
        <v>1185</v>
      </c>
      <c r="B85" t="s">
        <v>453</v>
      </c>
      <c r="C85" s="1194">
        <f>'MH Underwriting'!P18</f>
        <v>0</v>
      </c>
      <c r="D85" s="1194"/>
      <c r="E85" s="1194"/>
      <c r="F85" s="1194"/>
      <c r="G85" t="s">
        <v>1188</v>
      </c>
      <c r="H85" s="1231">
        <f>Table2[[#This Row],[Value]]</f>
        <v>0</v>
      </c>
      <c r="I85" t="s">
        <v>1188</v>
      </c>
      <c r="K85" s="1271">
        <f>Table2[[#This Row],[Value]]</f>
        <v>0</v>
      </c>
    </row>
    <row r="86" spans="1:11" x14ac:dyDescent="0.25">
      <c r="A86" t="s">
        <v>1185</v>
      </c>
      <c r="B86" t="s">
        <v>452</v>
      </c>
      <c r="C86" s="1194">
        <f>'MH Underwriting'!P19</f>
        <v>0</v>
      </c>
      <c r="D86" s="1194"/>
      <c r="E86" s="1194"/>
      <c r="F86" s="1194"/>
      <c r="G86" t="s">
        <v>1189</v>
      </c>
      <c r="H86" s="1231">
        <f>Table2[[#This Row],[Value]]</f>
        <v>0</v>
      </c>
      <c r="I86" t="s">
        <v>1189</v>
      </c>
      <c r="K86" s="1271">
        <f>Table2[[#This Row],[Value]]</f>
        <v>0</v>
      </c>
    </row>
    <row r="87" spans="1:11" x14ac:dyDescent="0.25">
      <c r="A87" t="s">
        <v>1185</v>
      </c>
      <c r="B87" t="s">
        <v>451</v>
      </c>
      <c r="C87" s="1194">
        <f>'MH Underwriting'!P20</f>
        <v>0</v>
      </c>
      <c r="D87" s="1194"/>
      <c r="E87" s="1194"/>
      <c r="F87" s="1194"/>
      <c r="G87" t="s">
        <v>1190</v>
      </c>
      <c r="H87" s="1231">
        <f>Table2[[#This Row],[Value]]</f>
        <v>0</v>
      </c>
      <c r="I87" t="s">
        <v>1190</v>
      </c>
      <c r="K87" s="1271">
        <f>Table2[[#This Row],[Value]]</f>
        <v>0</v>
      </c>
    </row>
    <row r="88" spans="1:11" s="1216" customFormat="1" x14ac:dyDescent="0.25">
      <c r="A88" s="1216" t="s">
        <v>1185</v>
      </c>
      <c r="B88" s="1216" t="s">
        <v>450</v>
      </c>
      <c r="C88" s="1228">
        <f>'MH Underwriting'!P21</f>
        <v>0</v>
      </c>
      <c r="D88" s="1228"/>
      <c r="E88" s="1228"/>
      <c r="F88" s="1228"/>
      <c r="G88" s="1245"/>
      <c r="H88" s="1246"/>
      <c r="I88" s="1245"/>
      <c r="K88" s="1272"/>
    </row>
    <row r="89" spans="1:11" x14ac:dyDescent="0.25">
      <c r="A89" t="s">
        <v>1185</v>
      </c>
      <c r="B89" t="s">
        <v>449</v>
      </c>
      <c r="C89" s="1194">
        <f>'MH Underwriting'!P23</f>
        <v>0</v>
      </c>
      <c r="D89" s="1194"/>
      <c r="E89" s="1194"/>
      <c r="F89" s="1194"/>
      <c r="G89" t="s">
        <v>1199</v>
      </c>
      <c r="H89" s="1231">
        <f>Table2[[#This Row],[Value]]</f>
        <v>0</v>
      </c>
      <c r="I89" t="s">
        <v>1199</v>
      </c>
      <c r="K89" s="1271">
        <f>Table2[[#This Row],[Value]]</f>
        <v>0</v>
      </c>
    </row>
    <row r="90" spans="1:11" x14ac:dyDescent="0.25">
      <c r="A90" t="s">
        <v>1185</v>
      </c>
      <c r="B90" t="s">
        <v>448</v>
      </c>
      <c r="C90" s="1194">
        <f>'MH Underwriting'!P24</f>
        <v>0</v>
      </c>
      <c r="D90" s="1194"/>
      <c r="E90" s="1194"/>
      <c r="F90" s="1194"/>
      <c r="G90" t="s">
        <v>1192</v>
      </c>
      <c r="H90" s="1231">
        <f>Table2[[#This Row],[Value]]</f>
        <v>0</v>
      </c>
      <c r="I90" t="s">
        <v>1192</v>
      </c>
      <c r="K90" s="1271">
        <f>Table2[[#This Row],[Value]]</f>
        <v>0</v>
      </c>
    </row>
    <row r="91" spans="1:11" x14ac:dyDescent="0.25">
      <c r="A91" t="s">
        <v>1185</v>
      </c>
      <c r="B91" t="s">
        <v>447</v>
      </c>
      <c r="C91" s="1194">
        <f>'MH Underwriting'!P25</f>
        <v>0</v>
      </c>
      <c r="D91" s="1194"/>
      <c r="E91" s="1194"/>
      <c r="F91" s="1194"/>
      <c r="G91" t="s">
        <v>1193</v>
      </c>
      <c r="H91" s="1231">
        <f>Table2[[#This Row],[Value]]</f>
        <v>0</v>
      </c>
      <c r="I91" t="s">
        <v>1193</v>
      </c>
      <c r="K91" s="1271">
        <f>Table2[[#This Row],[Value]]</f>
        <v>0</v>
      </c>
    </row>
    <row r="92" spans="1:11" x14ac:dyDescent="0.25">
      <c r="A92" t="s">
        <v>1185</v>
      </c>
      <c r="B92" t="s">
        <v>446</v>
      </c>
      <c r="C92" s="1194">
        <f>'MH Underwriting'!P26</f>
        <v>0</v>
      </c>
      <c r="D92" s="1194"/>
      <c r="E92" s="1194"/>
      <c r="F92" s="1194"/>
      <c r="G92" t="s">
        <v>1194</v>
      </c>
      <c r="H92" s="1231">
        <f>Table2[[#This Row],[Value]]</f>
        <v>0</v>
      </c>
      <c r="I92" t="s">
        <v>1194</v>
      </c>
      <c r="K92" s="1271">
        <f>Table2[[#This Row],[Value]]</f>
        <v>0</v>
      </c>
    </row>
    <row r="93" spans="1:11" x14ac:dyDescent="0.25">
      <c r="A93" t="s">
        <v>1185</v>
      </c>
      <c r="B93" t="s">
        <v>445</v>
      </c>
      <c r="C93" s="1194">
        <f>'MH Underwriting'!P27</f>
        <v>0</v>
      </c>
      <c r="D93" s="1194"/>
      <c r="E93" s="1194"/>
      <c r="F93" s="1194"/>
      <c r="G93" t="s">
        <v>1195</v>
      </c>
      <c r="H93" s="1231">
        <f>Table2[[#This Row],[Value]]</f>
        <v>0</v>
      </c>
      <c r="I93" t="s">
        <v>1195</v>
      </c>
      <c r="K93" s="1271">
        <f>Table2[[#This Row],[Value]]</f>
        <v>0</v>
      </c>
    </row>
    <row r="94" spans="1:11" x14ac:dyDescent="0.25">
      <c r="A94" t="s">
        <v>1185</v>
      </c>
      <c r="B94" t="s">
        <v>444</v>
      </c>
      <c r="C94" s="1194">
        <f>'MH Underwriting'!P28</f>
        <v>0</v>
      </c>
      <c r="D94" s="1194"/>
      <c r="E94" s="1194"/>
      <c r="F94" s="1194"/>
      <c r="G94" t="s">
        <v>1196</v>
      </c>
      <c r="H94" s="1231">
        <f>Table2[[#This Row],[Value]]</f>
        <v>0</v>
      </c>
      <c r="I94" t="s">
        <v>1196</v>
      </c>
      <c r="K94" s="1271"/>
    </row>
    <row r="95" spans="1:11" x14ac:dyDescent="0.25">
      <c r="A95" t="s">
        <v>1185</v>
      </c>
      <c r="B95" t="s">
        <v>443</v>
      </c>
      <c r="C95" s="1194">
        <f>'MH Underwriting'!P29</f>
        <v>0</v>
      </c>
      <c r="D95" s="1194"/>
      <c r="E95" s="1194"/>
      <c r="F95" s="1194"/>
      <c r="G95" t="s">
        <v>1197</v>
      </c>
      <c r="H95" s="1231">
        <f>Table2[[#This Row],[Value]]</f>
        <v>0</v>
      </c>
      <c r="I95" t="s">
        <v>1197</v>
      </c>
      <c r="K95" s="1271">
        <f>Table2[[#This Row],[Value]]</f>
        <v>0</v>
      </c>
    </row>
    <row r="96" spans="1:11" x14ac:dyDescent="0.25">
      <c r="A96" t="s">
        <v>1185</v>
      </c>
      <c r="B96" t="s">
        <v>442</v>
      </c>
      <c r="C96" s="1194">
        <f>'MH Underwriting'!P30</f>
        <v>0</v>
      </c>
      <c r="D96" s="1194"/>
      <c r="E96" s="1194"/>
      <c r="F96" s="1194"/>
      <c r="G96" t="s">
        <v>1198</v>
      </c>
      <c r="H96" s="1231">
        <f>Table2[[#This Row],[Value]]</f>
        <v>0</v>
      </c>
      <c r="I96" t="s">
        <v>1198</v>
      </c>
      <c r="K96" s="1271">
        <f>Table2[[#This Row],[Value]]</f>
        <v>0</v>
      </c>
    </row>
    <row r="97" spans="1:11" x14ac:dyDescent="0.25">
      <c r="A97" t="s">
        <v>1185</v>
      </c>
      <c r="B97" t="s">
        <v>226</v>
      </c>
      <c r="C97" s="1194">
        <f>'MH Underwriting'!P31</f>
        <v>0</v>
      </c>
      <c r="D97" s="1194"/>
      <c r="E97" s="1194"/>
      <c r="F97" s="1194"/>
      <c r="G97" s="1195" t="s">
        <v>1265</v>
      </c>
      <c r="H97" s="1231">
        <f>Table2[[#This Row],[Value]]</f>
        <v>0</v>
      </c>
      <c r="I97" t="s">
        <v>1515</v>
      </c>
      <c r="K97" s="1271">
        <f>Table2[[#This Row],[Value]]-('MH Underwriting'!P106-C94)</f>
        <v>0</v>
      </c>
    </row>
    <row r="98" spans="1:11" x14ac:dyDescent="0.25">
      <c r="A98" s="1216" t="s">
        <v>1185</v>
      </c>
      <c r="B98" s="1216" t="s">
        <v>441</v>
      </c>
      <c r="C98" s="1228">
        <f>'MH Underwriting'!P32</f>
        <v>0</v>
      </c>
      <c r="D98" s="1228"/>
      <c r="E98" s="1228"/>
      <c r="F98" s="1194"/>
      <c r="G98" s="1229"/>
      <c r="H98" s="1232"/>
      <c r="I98" s="1229"/>
      <c r="K98" s="1271"/>
    </row>
    <row r="99" spans="1:11" x14ac:dyDescent="0.25">
      <c r="A99" t="s">
        <v>1185</v>
      </c>
      <c r="B99" t="s">
        <v>440</v>
      </c>
      <c r="C99" s="1194">
        <f>'MH Underwriting'!P34</f>
        <v>0</v>
      </c>
      <c r="D99" s="1194"/>
      <c r="E99" s="1194"/>
      <c r="F99" s="1194"/>
      <c r="G99" s="1195" t="s">
        <v>440</v>
      </c>
      <c r="H99" s="1231">
        <f>IF('Project Costs &amp; Basis'!N34="",Table2[[#This Row],[Value]],Table2[[#This Row],[Value]]-'Project Costs &amp; Basis'!N34)</f>
        <v>0</v>
      </c>
      <c r="I99" t="s">
        <v>1516</v>
      </c>
      <c r="K99" s="1271">
        <f>IF('Project Costs &amp; Basis'!N34="",Table2[[#This Row],[Value]],Table2[[#This Row],[Value]]-'Project Costs &amp; Basis'!N34)</f>
        <v>0</v>
      </c>
    </row>
    <row r="100" spans="1:11" x14ac:dyDescent="0.25">
      <c r="A100" t="s">
        <v>1185</v>
      </c>
      <c r="B100" t="s">
        <v>439</v>
      </c>
      <c r="C100" s="1194">
        <f>'MH Underwriting'!P35</f>
        <v>0</v>
      </c>
      <c r="D100" s="1194"/>
      <c r="E100" s="1194"/>
      <c r="F100" s="1194"/>
      <c r="G100" t="s">
        <v>1200</v>
      </c>
      <c r="H100" s="1231">
        <f>Table2[[#This Row],[Value]]</f>
        <v>0</v>
      </c>
      <c r="I100" t="s">
        <v>1200</v>
      </c>
      <c r="K100" s="1271">
        <f>Table2[[#This Row],[Value]]-SUM('MH Underwriting'!P107:S107)</f>
        <v>0</v>
      </c>
    </row>
    <row r="101" spans="1:11" x14ac:dyDescent="0.25">
      <c r="A101" t="s">
        <v>1185</v>
      </c>
      <c r="B101" t="s">
        <v>1184</v>
      </c>
      <c r="C101" s="1194">
        <f>'MH Underwriting'!P36</f>
        <v>0</v>
      </c>
      <c r="D101" s="1194"/>
      <c r="E101" s="1194"/>
      <c r="F101" s="1194"/>
      <c r="G101" t="s">
        <v>1226</v>
      </c>
      <c r="H101" s="1231">
        <f>IF('Project Costs &amp; Basis'!N34="",Table2[[#This Row],[Value]],Table2[[#This Row],[Value]]+(C99-SD_81x1_100_S_0))</f>
        <v>0</v>
      </c>
      <c r="I101" t="s">
        <v>1226</v>
      </c>
      <c r="K101" s="1271">
        <f>IF('Project Costs &amp; Basis'!N34="",Table2[[#This Row],[Value]],Table2[[#This Row],[Value]]+(C99-SD_81x1_100_S_0))</f>
        <v>0</v>
      </c>
    </row>
    <row r="102" spans="1:11" x14ac:dyDescent="0.25">
      <c r="A102" t="s">
        <v>1185</v>
      </c>
      <c r="B102" t="s">
        <v>686</v>
      </c>
      <c r="C102" s="1194">
        <f>'MH Underwriting'!P37</f>
        <v>0</v>
      </c>
      <c r="D102" s="1194"/>
      <c r="E102" s="1194"/>
      <c r="F102" s="1194"/>
      <c r="G102" s="1195" t="s">
        <v>686</v>
      </c>
      <c r="H102" s="1231">
        <f>Table2[[#This Row],[Value]]</f>
        <v>0</v>
      </c>
      <c r="I102" t="s">
        <v>1517</v>
      </c>
      <c r="K102" s="1271">
        <f>Table2[[#This Row],[Value]]</f>
        <v>0</v>
      </c>
    </row>
    <row r="103" spans="1:11" x14ac:dyDescent="0.25">
      <c r="A103" t="s">
        <v>1185</v>
      </c>
      <c r="B103" t="s">
        <v>226</v>
      </c>
      <c r="C103" s="1194">
        <f>'MH Underwriting'!P38</f>
        <v>0</v>
      </c>
      <c r="D103" s="1194"/>
      <c r="E103" s="1194"/>
      <c r="F103" s="1194"/>
      <c r="G103" s="1195" t="s">
        <v>1269</v>
      </c>
      <c r="H103" s="1231">
        <f>Table2[[#This Row],[Value]]</f>
        <v>0</v>
      </c>
      <c r="I103" t="s">
        <v>1518</v>
      </c>
      <c r="K103" s="1271">
        <f>Table2[[#This Row],[Value]]</f>
        <v>0</v>
      </c>
    </row>
    <row r="104" spans="1:11" x14ac:dyDescent="0.25">
      <c r="A104" s="1216" t="s">
        <v>1185</v>
      </c>
      <c r="B104" s="1216" t="s">
        <v>435</v>
      </c>
      <c r="C104" s="1228">
        <f>'MH Underwriting'!P39</f>
        <v>0</v>
      </c>
      <c r="D104" s="1228"/>
      <c r="E104" s="1228"/>
      <c r="F104" s="1194"/>
      <c r="G104" s="1229"/>
      <c r="H104" s="1233"/>
      <c r="I104" s="1229"/>
      <c r="K104" s="1271"/>
    </row>
    <row r="105" spans="1:11" x14ac:dyDescent="0.25">
      <c r="A105" t="s">
        <v>1185</v>
      </c>
      <c r="B105" t="s">
        <v>434</v>
      </c>
      <c r="C105" s="1194">
        <f>'MH Underwriting'!P41</f>
        <v>0</v>
      </c>
      <c r="D105" s="1194"/>
      <c r="E105" s="1194"/>
      <c r="F105" s="1194"/>
      <c r="G105" t="s">
        <v>1224</v>
      </c>
      <c r="H105" s="1231">
        <f>Table2[[#This Row],[Value]]</f>
        <v>0</v>
      </c>
      <c r="I105" t="s">
        <v>1224</v>
      </c>
      <c r="K105" s="1271">
        <f>Table2[[#This Row],[Value]]</f>
        <v>0</v>
      </c>
    </row>
    <row r="106" spans="1:11" x14ac:dyDescent="0.25">
      <c r="A106" t="s">
        <v>1185</v>
      </c>
      <c r="B106" t="s">
        <v>433</v>
      </c>
      <c r="C106" s="1194">
        <f>'MH Underwriting'!P42</f>
        <v>0</v>
      </c>
      <c r="D106" s="1194"/>
      <c r="E106" s="1194"/>
      <c r="F106" s="1194"/>
      <c r="G106" t="s">
        <v>1201</v>
      </c>
      <c r="H106" s="1231">
        <f>Table2[[#This Row],[Value]]</f>
        <v>0</v>
      </c>
      <c r="I106" t="s">
        <v>1201</v>
      </c>
      <c r="K106" s="1271">
        <f>Table2[[#This Row],[Value]]</f>
        <v>0</v>
      </c>
    </row>
    <row r="107" spans="1:11" x14ac:dyDescent="0.25">
      <c r="A107" t="s">
        <v>1185</v>
      </c>
      <c r="B107" t="s">
        <v>432</v>
      </c>
      <c r="C107" s="1194">
        <f>'MH Underwriting'!P43</f>
        <v>0</v>
      </c>
      <c r="D107" s="1194"/>
      <c r="E107" s="1194"/>
      <c r="F107" s="1194"/>
      <c r="G107" t="s">
        <v>1202</v>
      </c>
      <c r="H107" s="1231">
        <f>Table2[[#This Row],[Value]]</f>
        <v>0</v>
      </c>
      <c r="I107" t="s">
        <v>1202</v>
      </c>
      <c r="K107" s="1271">
        <f>Table2[[#This Row],[Value]]</f>
        <v>0</v>
      </c>
    </row>
    <row r="108" spans="1:11" x14ac:dyDescent="0.25">
      <c r="A108" t="s">
        <v>1185</v>
      </c>
      <c r="B108" t="s">
        <v>697</v>
      </c>
      <c r="C108" s="1194">
        <f>'MH Underwriting'!P44</f>
        <v>0</v>
      </c>
      <c r="D108" s="1194"/>
      <c r="E108" s="1194"/>
      <c r="F108" s="1194"/>
      <c r="G108" t="s">
        <v>1203</v>
      </c>
      <c r="H108" s="1231">
        <f>Table2[[#This Row],[Value]]</f>
        <v>0</v>
      </c>
      <c r="I108" t="s">
        <v>1203</v>
      </c>
      <c r="K108" s="1271">
        <f>Table2[[#This Row],[Value]]-'MH Underwriting'!P108</f>
        <v>0</v>
      </c>
    </row>
    <row r="109" spans="1:11" x14ac:dyDescent="0.25">
      <c r="A109" t="s">
        <v>1185</v>
      </c>
      <c r="B109" t="s">
        <v>431</v>
      </c>
      <c r="C109" s="1194">
        <f>'MH Underwriting'!P45</f>
        <v>0</v>
      </c>
      <c r="D109" s="1194"/>
      <c r="E109" s="1194"/>
      <c r="F109" s="1194"/>
      <c r="G109" t="s">
        <v>1204</v>
      </c>
      <c r="H109" s="1231">
        <f>Table2[[#This Row],[Value]]</f>
        <v>0</v>
      </c>
      <c r="I109" t="s">
        <v>1204</v>
      </c>
      <c r="K109" s="1271">
        <f>Table2[[#This Row],[Value]]</f>
        <v>0</v>
      </c>
    </row>
    <row r="110" spans="1:11" x14ac:dyDescent="0.25">
      <c r="A110" t="s">
        <v>1185</v>
      </c>
      <c r="B110" t="s">
        <v>430</v>
      </c>
      <c r="C110" s="1194">
        <f>'MH Underwriting'!P46</f>
        <v>0</v>
      </c>
      <c r="D110" s="1194"/>
      <c r="E110" s="1194"/>
      <c r="F110" s="1194"/>
      <c r="G110" t="s">
        <v>1205</v>
      </c>
      <c r="H110" s="1231">
        <f>Table2[[#This Row],[Value]]</f>
        <v>0</v>
      </c>
      <c r="I110" t="s">
        <v>1205</v>
      </c>
      <c r="K110" s="1271">
        <f>Table2[[#This Row],[Value]]</f>
        <v>0</v>
      </c>
    </row>
    <row r="111" spans="1:11" x14ac:dyDescent="0.25">
      <c r="A111" t="s">
        <v>1185</v>
      </c>
      <c r="B111" t="s">
        <v>226</v>
      </c>
      <c r="C111" s="1194">
        <f>'MH Underwriting'!P47</f>
        <v>0</v>
      </c>
      <c r="D111" s="1194"/>
      <c r="E111" s="1194"/>
      <c r="F111" s="1194"/>
      <c r="G111" s="1195" t="s">
        <v>1270</v>
      </c>
      <c r="H111" s="1231">
        <f>Table2[[#This Row],[Value]]</f>
        <v>0</v>
      </c>
      <c r="I111" t="s">
        <v>1519</v>
      </c>
      <c r="K111" s="1271">
        <f>Table2[[#This Row],[Value]]</f>
        <v>0</v>
      </c>
    </row>
    <row r="112" spans="1:11" x14ac:dyDescent="0.25">
      <c r="A112" s="1216" t="s">
        <v>1185</v>
      </c>
      <c r="B112" s="1216" t="s">
        <v>429</v>
      </c>
      <c r="C112" s="1228">
        <f>'MH Underwriting'!P48</f>
        <v>0</v>
      </c>
      <c r="D112" s="1228"/>
      <c r="E112" s="1228"/>
      <c r="F112" s="1194"/>
      <c r="G112" s="1229"/>
      <c r="H112" s="1233"/>
      <c r="I112" s="1229"/>
      <c r="K112" s="1271"/>
    </row>
    <row r="113" spans="1:11" x14ac:dyDescent="0.25">
      <c r="A113" t="s">
        <v>1185</v>
      </c>
      <c r="B113" t="s">
        <v>428</v>
      </c>
      <c r="C113" s="1194">
        <f>'MH Underwriting'!P50</f>
        <v>0</v>
      </c>
      <c r="D113" s="1194"/>
      <c r="E113" s="1194"/>
      <c r="F113" s="1194"/>
      <c r="G113" t="s">
        <v>1221</v>
      </c>
      <c r="H113" s="1231">
        <f>Table2[[#This Row],[Value]]</f>
        <v>0</v>
      </c>
      <c r="I113" t="s">
        <v>1221</v>
      </c>
      <c r="K113" s="1271">
        <f>Table2[[#This Row],[Value]]</f>
        <v>0</v>
      </c>
    </row>
    <row r="114" spans="1:11" x14ac:dyDescent="0.25">
      <c r="A114" t="s">
        <v>1185</v>
      </c>
      <c r="B114" t="s">
        <v>427</v>
      </c>
      <c r="C114" s="1194">
        <f>'MH Underwriting'!P51</f>
        <v>0</v>
      </c>
      <c r="D114" s="1194"/>
      <c r="E114" s="1194"/>
      <c r="F114" s="1194"/>
      <c r="G114" t="s">
        <v>1206</v>
      </c>
      <c r="H114" s="1231">
        <f>Table2[[#This Row],[Value]]</f>
        <v>0</v>
      </c>
      <c r="I114" t="s">
        <v>1206</v>
      </c>
      <c r="K114" s="1271">
        <f>Table2[[#This Row],[Value]]</f>
        <v>0</v>
      </c>
    </row>
    <row r="115" spans="1:11" x14ac:dyDescent="0.25">
      <c r="A115" t="s">
        <v>1185</v>
      </c>
      <c r="B115" t="s">
        <v>548</v>
      </c>
      <c r="C115" s="1194">
        <f>'MH Underwriting'!P52</f>
        <v>0</v>
      </c>
      <c r="D115" s="1194"/>
      <c r="E115" s="1194"/>
      <c r="F115" s="1194"/>
      <c r="G115" s="1195" t="s">
        <v>548</v>
      </c>
      <c r="H115" s="1231">
        <f>Table2[[#This Row],[Value]]</f>
        <v>0</v>
      </c>
      <c r="I115" t="s">
        <v>1520</v>
      </c>
      <c r="K115" s="1271">
        <f>Table2[[#This Row],[Value]]</f>
        <v>0</v>
      </c>
    </row>
    <row r="116" spans="1:11" x14ac:dyDescent="0.25">
      <c r="A116" t="s">
        <v>1185</v>
      </c>
      <c r="B116" t="s">
        <v>426</v>
      </c>
      <c r="C116" s="1194">
        <f>'MH Underwriting'!P53</f>
        <v>0</v>
      </c>
      <c r="D116" s="1194"/>
      <c r="E116" s="1194"/>
      <c r="F116" s="1194"/>
      <c r="G116" s="1195" t="s">
        <v>426</v>
      </c>
      <c r="H116" s="1231">
        <f>Table2[[#This Row],[Value]]</f>
        <v>0</v>
      </c>
      <c r="I116" t="s">
        <v>1521</v>
      </c>
      <c r="K116" s="1271">
        <f>Table2[[#This Row],[Value]]</f>
        <v>0</v>
      </c>
    </row>
    <row r="117" spans="1:11" x14ac:dyDescent="0.25">
      <c r="A117" t="s">
        <v>1185</v>
      </c>
      <c r="B117" t="s">
        <v>630</v>
      </c>
      <c r="C117" s="1194">
        <f>'MH Underwriting'!P54</f>
        <v>0</v>
      </c>
      <c r="D117" s="1194"/>
      <c r="E117" s="1194"/>
      <c r="F117" s="1194"/>
      <c r="G117" s="1195" t="s">
        <v>630</v>
      </c>
      <c r="H117" s="1231">
        <f>Table2[[#This Row],[Value]]</f>
        <v>0</v>
      </c>
      <c r="I117" t="s">
        <v>1522</v>
      </c>
      <c r="K117" s="1271">
        <f>Table2[[#This Row],[Value]]</f>
        <v>0</v>
      </c>
    </row>
    <row r="118" spans="1:11" x14ac:dyDescent="0.25">
      <c r="A118" s="1216" t="s">
        <v>1185</v>
      </c>
      <c r="B118" s="1216" t="s">
        <v>425</v>
      </c>
      <c r="C118" s="1228">
        <f>'MH Underwriting'!P55</f>
        <v>0</v>
      </c>
      <c r="D118" s="1228"/>
      <c r="E118" s="1228"/>
      <c r="F118" s="1194"/>
      <c r="G118" s="1229"/>
      <c r="H118" s="1233"/>
      <c r="I118" s="1229"/>
      <c r="K118" s="1271"/>
    </row>
    <row r="119" spans="1:11" x14ac:dyDescent="0.25">
      <c r="A119" t="s">
        <v>1185</v>
      </c>
      <c r="B119" t="s">
        <v>424</v>
      </c>
      <c r="C119" s="1194">
        <f>'MH Underwriting'!P57</f>
        <v>0</v>
      </c>
      <c r="D119" s="1194"/>
      <c r="E119" s="1194"/>
      <c r="F119" s="1194"/>
      <c r="G119" t="s">
        <v>1225</v>
      </c>
      <c r="H119" s="1231">
        <f>Table2[[#This Row],[Value]]</f>
        <v>0</v>
      </c>
      <c r="I119" t="s">
        <v>1225</v>
      </c>
      <c r="K119" s="1271"/>
    </row>
    <row r="120" spans="1:11" x14ac:dyDescent="0.25">
      <c r="A120" t="s">
        <v>1185</v>
      </c>
      <c r="B120" t="s">
        <v>422</v>
      </c>
      <c r="C120" s="1194">
        <f>'MH Underwriting'!P58</f>
        <v>0</v>
      </c>
      <c r="D120" s="1194"/>
      <c r="E120" s="1194"/>
      <c r="F120" s="1194"/>
      <c r="G120" t="s">
        <v>1222</v>
      </c>
      <c r="H120" s="1231">
        <f>Table2[[#This Row],[Value]]</f>
        <v>0</v>
      </c>
      <c r="I120" t="s">
        <v>1222</v>
      </c>
      <c r="K120" s="1271"/>
    </row>
    <row r="121" spans="1:11" x14ac:dyDescent="0.25">
      <c r="A121" t="s">
        <v>1185</v>
      </c>
      <c r="B121" t="s">
        <v>420</v>
      </c>
      <c r="C121" s="1194">
        <f>'MH Underwriting'!P59</f>
        <v>0</v>
      </c>
      <c r="D121" s="1194"/>
      <c r="E121" s="1194"/>
      <c r="F121" s="1194"/>
      <c r="G121" t="s">
        <v>1223</v>
      </c>
      <c r="H121" s="1231">
        <f>Table2[[#This Row],[Value]]</f>
        <v>0</v>
      </c>
      <c r="I121" t="s">
        <v>1223</v>
      </c>
      <c r="K121" s="1271">
        <f>SUM('MH Underwriting'!G110:L110)-C122</f>
        <v>0</v>
      </c>
    </row>
    <row r="122" spans="1:11" x14ac:dyDescent="0.25">
      <c r="A122" t="s">
        <v>1185</v>
      </c>
      <c r="B122" t="s">
        <v>549</v>
      </c>
      <c r="C122" s="1194">
        <f>'MH Underwriting'!P60</f>
        <v>0</v>
      </c>
      <c r="D122" s="1194"/>
      <c r="E122" s="1194"/>
      <c r="F122" s="1194"/>
      <c r="G122" t="s">
        <v>1523</v>
      </c>
      <c r="H122" s="1231">
        <f>Table2[[#This Row],[Value]]</f>
        <v>0</v>
      </c>
      <c r="I122" t="s">
        <v>1523</v>
      </c>
      <c r="K122" s="1271">
        <f>Table2[[#This Row],[Value]]</f>
        <v>0</v>
      </c>
    </row>
    <row r="123" spans="1:11" x14ac:dyDescent="0.25">
      <c r="A123" t="s">
        <v>1185</v>
      </c>
      <c r="B123" t="s">
        <v>418</v>
      </c>
      <c r="C123" s="1194">
        <f>'MH Underwriting'!P61</f>
        <v>0</v>
      </c>
      <c r="D123" s="1194"/>
      <c r="E123" s="1194"/>
      <c r="F123" s="1194"/>
      <c r="G123" t="s">
        <v>1524</v>
      </c>
      <c r="H123" s="1231">
        <f>Table2[[#This Row],[Value]]</f>
        <v>0</v>
      </c>
      <c r="I123" t="s">
        <v>1524</v>
      </c>
      <c r="K123" s="1271"/>
    </row>
    <row r="124" spans="1:11" x14ac:dyDescent="0.25">
      <c r="A124" t="s">
        <v>1185</v>
      </c>
      <c r="B124" t="s">
        <v>416</v>
      </c>
      <c r="C124" s="1194">
        <f>'MH Underwriting'!P62</f>
        <v>0</v>
      </c>
      <c r="D124" s="1194"/>
      <c r="E124" s="1194"/>
      <c r="F124" s="1194"/>
      <c r="G124" t="s">
        <v>1207</v>
      </c>
      <c r="H124" s="1231">
        <f>Table2[[#This Row],[Value]]</f>
        <v>0</v>
      </c>
      <c r="I124" t="s">
        <v>1207</v>
      </c>
      <c r="K124" s="1271"/>
    </row>
    <row r="125" spans="1:11" x14ac:dyDescent="0.25">
      <c r="A125" t="s">
        <v>1185</v>
      </c>
      <c r="B125" t="s">
        <v>1624</v>
      </c>
      <c r="C125" s="1194">
        <f>'MH Underwriting'!P63</f>
        <v>0</v>
      </c>
      <c r="D125" s="1194"/>
      <c r="E125" s="1194"/>
      <c r="F125" s="1194"/>
      <c r="G125" t="s">
        <v>1624</v>
      </c>
      <c r="H125" s="1231"/>
      <c r="K125" s="1271"/>
    </row>
    <row r="126" spans="1:11" x14ac:dyDescent="0.25">
      <c r="A126" t="s">
        <v>1185</v>
      </c>
      <c r="B126" t="s">
        <v>1549</v>
      </c>
      <c r="C126" s="1194">
        <f>'MH Underwriting'!P64</f>
        <v>0</v>
      </c>
      <c r="D126" s="1194"/>
      <c r="E126" s="1194"/>
      <c r="F126" s="1194"/>
      <c r="G126" t="s">
        <v>1227</v>
      </c>
      <c r="H126" s="1231">
        <f>C125+Table2[[#This Row],[Value]]</f>
        <v>0</v>
      </c>
      <c r="I126" t="s">
        <v>1227</v>
      </c>
      <c r="K126" s="1271">
        <f>SUM('MH Underwriting'!G109:L109)</f>
        <v>0</v>
      </c>
    </row>
    <row r="127" spans="1:11" x14ac:dyDescent="0.25">
      <c r="A127" t="s">
        <v>1185</v>
      </c>
      <c r="B127" t="s">
        <v>226</v>
      </c>
      <c r="C127" s="1194">
        <f>'MH Underwriting'!P65</f>
        <v>0</v>
      </c>
      <c r="D127" s="1194"/>
      <c r="E127" s="1194"/>
      <c r="F127" s="1194"/>
      <c r="G127" s="1195" t="s">
        <v>1271</v>
      </c>
      <c r="H127" s="1231">
        <f>Table2[[#This Row],[Value]]</f>
        <v>0</v>
      </c>
      <c r="I127" t="s">
        <v>1525</v>
      </c>
      <c r="K127" s="1271" t="e">
        <f>SD_81x1_5325x1_142_S_0-SUM(K82:K126)</f>
        <v>#VALUE!</v>
      </c>
    </row>
    <row r="128" spans="1:11" x14ac:dyDescent="0.25">
      <c r="A128" s="1216" t="s">
        <v>1185</v>
      </c>
      <c r="B128" s="1216" t="s">
        <v>411</v>
      </c>
      <c r="C128" s="1228">
        <f>'MH Underwriting'!P66</f>
        <v>0</v>
      </c>
      <c r="D128" s="1228"/>
      <c r="E128" s="1228"/>
      <c r="F128" s="1194"/>
      <c r="G128" s="1229"/>
      <c r="H128" s="1230"/>
      <c r="I128" s="1229"/>
      <c r="K128" s="1271"/>
    </row>
    <row r="129" spans="1:12" x14ac:dyDescent="0.25">
      <c r="A129" t="s">
        <v>1185</v>
      </c>
      <c r="B129" t="s">
        <v>771</v>
      </c>
      <c r="C129" s="1194">
        <f>'MH Underwriting'!P68</f>
        <v>0</v>
      </c>
      <c r="D129" s="1194"/>
      <c r="E129" s="1194"/>
      <c r="F129" s="1194"/>
      <c r="G129" t="s">
        <v>278</v>
      </c>
      <c r="H129" s="1194">
        <f>SUBTOTAL(109,Table5[Value])</f>
        <v>0</v>
      </c>
      <c r="K129" s="1271" t="e">
        <f>SUM(K81:K127)</f>
        <v>#VALUE!</v>
      </c>
    </row>
    <row r="130" spans="1:12" x14ac:dyDescent="0.25">
      <c r="L130" s="1197"/>
    </row>
    <row r="131" spans="1:12" x14ac:dyDescent="0.25">
      <c r="L131" s="1197"/>
    </row>
    <row r="132" spans="1:12" ht="18" x14ac:dyDescent="0.35">
      <c r="A132" s="1224" t="s">
        <v>1635</v>
      </c>
      <c r="B132" s="1224" t="s">
        <v>93</v>
      </c>
      <c r="C132" s="1224"/>
      <c r="D132" s="1224"/>
      <c r="E132" s="1224"/>
      <c r="G132" s="1226" t="s">
        <v>1617</v>
      </c>
      <c r="H132" s="1226" t="s">
        <v>1247</v>
      </c>
      <c r="I132" s="1226"/>
      <c r="J132" s="1226"/>
      <c r="K132" s="1226"/>
      <c r="L132" s="1226"/>
    </row>
    <row r="133" spans="1:12" s="1197" customFormat="1" x14ac:dyDescent="0.25">
      <c r="A133" s="1252" t="s">
        <v>1229</v>
      </c>
      <c r="B133" s="1259" t="s">
        <v>1178</v>
      </c>
      <c r="C133" s="1259" t="s">
        <v>94</v>
      </c>
      <c r="D133" s="1259" t="s">
        <v>107</v>
      </c>
      <c r="E133" s="1259" t="s">
        <v>131</v>
      </c>
      <c r="G133" s="1259" t="s">
        <v>1627</v>
      </c>
      <c r="H133" s="1259" t="s">
        <v>1689</v>
      </c>
      <c r="I133" s="1259" t="s">
        <v>118</v>
      </c>
      <c r="J133" s="1259" t="s">
        <v>1249</v>
      </c>
      <c r="K133" s="1259" t="s">
        <v>1250</v>
      </c>
      <c r="L133" s="1259" t="s">
        <v>1251</v>
      </c>
    </row>
    <row r="134" spans="1:12" x14ac:dyDescent="0.25">
      <c r="A134" s="1253" t="s">
        <v>1626</v>
      </c>
      <c r="B134" s="1254" t="s">
        <v>1231</v>
      </c>
      <c r="C134" s="1254">
        <f>'Project Costs &amp; Basis'!E9</f>
        <v>0</v>
      </c>
      <c r="D134" s="1254">
        <f>'Project Costs &amp; Basis'!Q9</f>
        <v>0</v>
      </c>
      <c r="E134" s="1254">
        <f>'Project Costs &amp; Basis'!S9</f>
        <v>0</v>
      </c>
      <c r="G134" s="1251" t="s">
        <v>1678</v>
      </c>
      <c r="H134" s="1251" t="str">
        <f>IF('Project Information'!D26&lt;&gt;"Acquisition/Rehab", C134, "")</f>
        <v/>
      </c>
      <c r="I134" s="1251" t="str">
        <f>IF('Project Information'!D26&lt;&gt;"Acquisition/Rehab", D134, "")</f>
        <v/>
      </c>
      <c r="J134" s="1251" t="str">
        <f>IF('Project Information'!D26&lt;&gt;"Acquisition/Rehab", IF($B$3="4Percent",E134,0), "")</f>
        <v/>
      </c>
      <c r="K134" s="1251" t="str">
        <f>IF('Project Information'!D26&lt;&gt;"Acquisition/Rehab", IF($B$3="9Percent",E134,0), "")</f>
        <v/>
      </c>
      <c r="L134" s="1251" t="s">
        <v>1678</v>
      </c>
    </row>
    <row r="135" spans="1:12" x14ac:dyDescent="0.25">
      <c r="A135" s="1253"/>
      <c r="B135" s="1254"/>
      <c r="C135" s="1254"/>
      <c r="D135" s="1254"/>
      <c r="E135" s="1254"/>
      <c r="G135" s="1251" t="s">
        <v>1679</v>
      </c>
      <c r="H135" s="1251">
        <f>IF('Project Information'!D26="Acquisition/Rehab", C134, "")</f>
        <v>0</v>
      </c>
      <c r="I135" s="1251">
        <f>IF('Project Information'!D26="Acquisition/Rehab", D134, "")</f>
        <v>0</v>
      </c>
      <c r="J135" s="1251">
        <f>IF('Project Information'!D26="Acquisition/Rehab", IF($B$3="4Percent",E134,0), "")</f>
        <v>0</v>
      </c>
      <c r="K135" s="1251">
        <f>IF('Project Information'!D26="Acquisition/Rehab", IF($B$3="9Percent",E134,0), "")</f>
        <v>0</v>
      </c>
      <c r="L135" s="1251" t="s">
        <v>1679</v>
      </c>
    </row>
    <row r="136" spans="1:12" x14ac:dyDescent="0.25">
      <c r="A136" s="1255" t="s">
        <v>1230</v>
      </c>
      <c r="B136" s="1251" t="s">
        <v>1231</v>
      </c>
      <c r="C136" s="1251">
        <f>'Project Costs &amp; Basis'!E13</f>
        <v>0</v>
      </c>
      <c r="D136" s="1251">
        <f>'Project Costs &amp; Basis'!Q13</f>
        <v>0</v>
      </c>
      <c r="E136" s="1251">
        <f>'Project Costs &amp; Basis'!S13</f>
        <v>0</v>
      </c>
      <c r="G136" s="1251" t="s">
        <v>1252</v>
      </c>
      <c r="H136" s="1251">
        <f>Table6[[#This Row],[Total Cost]]</f>
        <v>0</v>
      </c>
      <c r="I136" s="1251">
        <f t="shared" ref="I136:I144" si="6">D136</f>
        <v>0</v>
      </c>
      <c r="J136" s="1251">
        <f t="shared" ref="J136:J144" si="7">IF($B$3="4Percent", E136,0)</f>
        <v>0</v>
      </c>
      <c r="K136" s="1251">
        <f t="shared" ref="K136:K144" si="8">IF($B$3="9Percent",E136,0)</f>
        <v>0</v>
      </c>
      <c r="L136" s="1251" t="s">
        <v>1252</v>
      </c>
    </row>
    <row r="137" spans="1:12" x14ac:dyDescent="0.25">
      <c r="A137" s="1256" t="s">
        <v>448</v>
      </c>
      <c r="B137" s="1251" t="s">
        <v>1231</v>
      </c>
      <c r="C137" s="1251">
        <f>'Project Costs &amp; Basis'!E15</f>
        <v>0</v>
      </c>
      <c r="D137" s="1251">
        <f>'Project Costs &amp; Basis'!Q15</f>
        <v>0</v>
      </c>
      <c r="E137" s="1251">
        <f>'Project Costs &amp; Basis'!S15</f>
        <v>0</v>
      </c>
      <c r="G137" s="1251" t="s">
        <v>1526</v>
      </c>
      <c r="H137" s="1251">
        <f>Table6[[#This Row],[Total Cost]]</f>
        <v>0</v>
      </c>
      <c r="I137" s="1251">
        <f t="shared" si="6"/>
        <v>0</v>
      </c>
      <c r="J137" s="1251">
        <f t="shared" si="7"/>
        <v>0</v>
      </c>
      <c r="K137" s="1251">
        <f t="shared" si="8"/>
        <v>0</v>
      </c>
      <c r="L137" s="1251" t="s">
        <v>1526</v>
      </c>
    </row>
    <row r="138" spans="1:12" x14ac:dyDescent="0.25">
      <c r="A138" s="1256" t="s">
        <v>1232</v>
      </c>
      <c r="B138" s="1251" t="s">
        <v>1231</v>
      </c>
      <c r="C138" s="1251">
        <f>'Project Costs &amp; Basis'!E17</f>
        <v>0</v>
      </c>
      <c r="D138" s="1251">
        <f>'Project Costs &amp; Basis'!Q17</f>
        <v>0</v>
      </c>
      <c r="E138" s="1251">
        <f>'Project Costs &amp; Basis'!S17</f>
        <v>0</v>
      </c>
      <c r="G138" s="1251" t="s">
        <v>1209</v>
      </c>
      <c r="H138" s="1251">
        <f>Table6[[#This Row],[Total Cost]]</f>
        <v>0</v>
      </c>
      <c r="I138" s="1251">
        <f t="shared" si="6"/>
        <v>0</v>
      </c>
      <c r="J138" s="1251">
        <f t="shared" si="7"/>
        <v>0</v>
      </c>
      <c r="K138" s="1251">
        <f t="shared" si="8"/>
        <v>0</v>
      </c>
      <c r="L138" s="1251" t="s">
        <v>1209</v>
      </c>
    </row>
    <row r="139" spans="1:12" x14ac:dyDescent="0.25">
      <c r="A139" s="1256" t="s">
        <v>1233</v>
      </c>
      <c r="B139" s="1251" t="s">
        <v>1231</v>
      </c>
      <c r="C139" s="1251">
        <f>'Project Costs &amp; Basis'!E19</f>
        <v>0</v>
      </c>
      <c r="D139" s="1251">
        <f>'Project Costs &amp; Basis'!Q19</f>
        <v>0</v>
      </c>
      <c r="E139" s="1251">
        <f>'Project Costs &amp; Basis'!S19</f>
        <v>0</v>
      </c>
      <c r="G139" s="1251" t="s">
        <v>1527</v>
      </c>
      <c r="H139" s="1251">
        <f>Table6[[#This Row],[Total Cost]]</f>
        <v>0</v>
      </c>
      <c r="I139" s="1251">
        <f t="shared" si="6"/>
        <v>0</v>
      </c>
      <c r="J139" s="1251">
        <f t="shared" si="7"/>
        <v>0</v>
      </c>
      <c r="K139" s="1251">
        <f t="shared" si="8"/>
        <v>0</v>
      </c>
      <c r="L139" s="1251" t="s">
        <v>1527</v>
      </c>
    </row>
    <row r="140" spans="1:12" x14ac:dyDescent="0.25">
      <c r="A140" s="1256" t="s">
        <v>445</v>
      </c>
      <c r="B140" s="1251" t="s">
        <v>1231</v>
      </c>
      <c r="C140" s="1251">
        <f>'Project Costs &amp; Basis'!E21</f>
        <v>0</v>
      </c>
      <c r="D140" s="1251">
        <f>'Project Costs &amp; Basis'!Q21</f>
        <v>0</v>
      </c>
      <c r="E140" s="1251">
        <f>'Project Costs &amp; Basis'!S21</f>
        <v>0</v>
      </c>
      <c r="G140" s="1251" t="s">
        <v>1210</v>
      </c>
      <c r="H140" s="1251">
        <f>Table6[[#This Row],[Total Cost]]</f>
        <v>0</v>
      </c>
      <c r="I140" s="1251">
        <f t="shared" si="6"/>
        <v>0</v>
      </c>
      <c r="J140" s="1251">
        <f t="shared" si="7"/>
        <v>0</v>
      </c>
      <c r="K140" s="1251">
        <f t="shared" si="8"/>
        <v>0</v>
      </c>
      <c r="L140" s="1251" t="s">
        <v>1210</v>
      </c>
    </row>
    <row r="141" spans="1:12" x14ac:dyDescent="0.25">
      <c r="A141" s="1256" t="s">
        <v>1234</v>
      </c>
      <c r="B141" s="1251" t="s">
        <v>1231</v>
      </c>
      <c r="C141" s="1251">
        <f>'Project Costs &amp; Basis'!E23</f>
        <v>0</v>
      </c>
      <c r="D141" s="1251">
        <f>'Project Costs &amp; Basis'!Q23</f>
        <v>0</v>
      </c>
      <c r="E141" s="1251">
        <f>'Project Costs &amp; Basis'!S23</f>
        <v>0</v>
      </c>
      <c r="G141" s="1251" t="s">
        <v>1528</v>
      </c>
      <c r="H141" s="1251">
        <f>Table6[[#This Row],[Total Cost]]</f>
        <v>0</v>
      </c>
      <c r="I141" s="1251">
        <f t="shared" si="6"/>
        <v>0</v>
      </c>
      <c r="J141" s="1251">
        <f t="shared" si="7"/>
        <v>0</v>
      </c>
      <c r="K141" s="1251">
        <f t="shared" si="8"/>
        <v>0</v>
      </c>
      <c r="L141" s="1251" t="s">
        <v>1528</v>
      </c>
    </row>
    <row r="142" spans="1:12" x14ac:dyDescent="0.25">
      <c r="A142" s="1256" t="s">
        <v>1235</v>
      </c>
      <c r="B142" s="1251" t="s">
        <v>1231</v>
      </c>
      <c r="C142" s="1251">
        <f>'Project Costs &amp; Basis'!E25</f>
        <v>0</v>
      </c>
      <c r="D142" s="1251">
        <f>'Project Costs &amp; Basis'!Q25</f>
        <v>0</v>
      </c>
      <c r="E142" s="1251">
        <f>'Project Costs &amp; Basis'!S25</f>
        <v>0</v>
      </c>
      <c r="G142" s="1251" t="s">
        <v>1211</v>
      </c>
      <c r="H142" s="1251">
        <f>Table6[[#This Row],[Total Cost]]</f>
        <v>0</v>
      </c>
      <c r="I142" s="1251">
        <f t="shared" si="6"/>
        <v>0</v>
      </c>
      <c r="J142" s="1251">
        <f t="shared" si="7"/>
        <v>0</v>
      </c>
      <c r="K142" s="1251">
        <f t="shared" si="8"/>
        <v>0</v>
      </c>
      <c r="L142" s="1251" t="s">
        <v>1211</v>
      </c>
    </row>
    <row r="143" spans="1:12" x14ac:dyDescent="0.25">
      <c r="A143" s="1256" t="s">
        <v>1236</v>
      </c>
      <c r="B143" s="1251" t="s">
        <v>1231</v>
      </c>
      <c r="C143" s="1251">
        <f>'Project Costs &amp; Basis'!E27</f>
        <v>0</v>
      </c>
      <c r="D143" s="1251">
        <f>'Project Costs &amp; Basis'!Q27</f>
        <v>0</v>
      </c>
      <c r="E143" s="1251">
        <f>'Project Costs &amp; Basis'!S27</f>
        <v>0</v>
      </c>
      <c r="G143" s="1251" t="s">
        <v>1212</v>
      </c>
      <c r="H143" s="1251">
        <f>Table6[[#This Row],[Total Cost]]</f>
        <v>0</v>
      </c>
      <c r="I143" s="1251">
        <f t="shared" si="6"/>
        <v>0</v>
      </c>
      <c r="J143" s="1251">
        <f t="shared" si="7"/>
        <v>0</v>
      </c>
      <c r="K143" s="1251">
        <f t="shared" si="8"/>
        <v>0</v>
      </c>
      <c r="L143" s="1251" t="s">
        <v>1212</v>
      </c>
    </row>
    <row r="144" spans="1:12" x14ac:dyDescent="0.25">
      <c r="A144" s="1256" t="s">
        <v>226</v>
      </c>
      <c r="B144" s="1251" t="s">
        <v>1231</v>
      </c>
      <c r="C144" s="1251">
        <f>'Project Costs &amp; Basis'!E29</f>
        <v>0</v>
      </c>
      <c r="D144" s="1251">
        <f>'Project Costs &amp; Basis'!Q29</f>
        <v>0</v>
      </c>
      <c r="E144" s="1251">
        <f>'Project Costs &amp; Basis'!S29</f>
        <v>0</v>
      </c>
      <c r="G144" s="1260" t="s">
        <v>1265</v>
      </c>
      <c r="H144" s="1251">
        <f>Table6[[#This Row],[Total Cost]]</f>
        <v>0</v>
      </c>
      <c r="I144" s="1251">
        <f t="shared" si="6"/>
        <v>0</v>
      </c>
      <c r="J144" s="1251">
        <f t="shared" si="7"/>
        <v>0</v>
      </c>
      <c r="K144" s="1251">
        <f t="shared" si="8"/>
        <v>0</v>
      </c>
      <c r="L144" s="1251" t="s">
        <v>1256</v>
      </c>
    </row>
    <row r="145" spans="1:12" x14ac:dyDescent="0.25">
      <c r="A145" s="1257" t="s">
        <v>1628</v>
      </c>
      <c r="B145" s="1254" t="s">
        <v>1231</v>
      </c>
      <c r="C145" s="1254">
        <f>'Project Costs &amp; Basis'!E31</f>
        <v>0</v>
      </c>
      <c r="D145" s="1254">
        <f>'Project Costs &amp; Basis'!Q31</f>
        <v>0</v>
      </c>
      <c r="E145" s="1254">
        <f>'Project Costs &amp; Basis'!S31</f>
        <v>0</v>
      </c>
      <c r="G145" s="1261"/>
      <c r="H145" s="1261"/>
      <c r="I145" s="1232"/>
      <c r="J145" s="1232"/>
      <c r="K145" s="1232"/>
      <c r="L145" s="1232"/>
    </row>
    <row r="146" spans="1:12" x14ac:dyDescent="0.25">
      <c r="A146" s="1256" t="s">
        <v>1237</v>
      </c>
      <c r="B146" s="1251" t="s">
        <v>1231</v>
      </c>
      <c r="C146" s="1251">
        <f>'Project Costs &amp; Basis'!E38</f>
        <v>0</v>
      </c>
      <c r="D146" s="1251">
        <f>'Project Costs &amp; Basis'!Q38</f>
        <v>0</v>
      </c>
      <c r="E146" s="1251">
        <f>'Project Costs &amp; Basis'!S38</f>
        <v>0</v>
      </c>
      <c r="G146" s="1251" t="s">
        <v>1237</v>
      </c>
      <c r="H146" s="1251">
        <f>Table6[[#This Row],[Total Cost]]</f>
        <v>0</v>
      </c>
      <c r="I146" s="1251">
        <f>D146</f>
        <v>0</v>
      </c>
      <c r="J146" s="1251">
        <f>IF($B$3="4Percent", E146,0)</f>
        <v>0</v>
      </c>
      <c r="K146" s="1251">
        <f>IF($B$3="9Percent",E146,0)</f>
        <v>0</v>
      </c>
      <c r="L146" s="1251" t="s">
        <v>1237</v>
      </c>
    </row>
    <row r="147" spans="1:12" x14ac:dyDescent="0.25">
      <c r="A147" s="1256" t="s">
        <v>1238</v>
      </c>
      <c r="B147" s="1251" t="s">
        <v>1231</v>
      </c>
      <c r="C147" s="1251">
        <f>'Project Costs &amp; Basis'!E40</f>
        <v>0</v>
      </c>
      <c r="D147" s="1251">
        <f>'Project Costs &amp; Basis'!Q40</f>
        <v>0</v>
      </c>
      <c r="E147" s="1251">
        <f>'Project Costs &amp; Basis'!S40</f>
        <v>0</v>
      </c>
      <c r="G147" s="1251" t="s">
        <v>1213</v>
      </c>
      <c r="H147" s="1251">
        <f>Table6[[#This Row],[Total Cost]]</f>
        <v>0</v>
      </c>
      <c r="I147" s="1251">
        <f>D147</f>
        <v>0</v>
      </c>
      <c r="J147" s="1251">
        <f>IF($B$3="4Percent", E147,0)</f>
        <v>0</v>
      </c>
      <c r="K147" s="1251">
        <f>IF($B$3="9Percent",E147,0)</f>
        <v>0</v>
      </c>
      <c r="L147" s="1251" t="s">
        <v>1213</v>
      </c>
    </row>
    <row r="148" spans="1:12" x14ac:dyDescent="0.25">
      <c r="A148" s="1256" t="s">
        <v>1184</v>
      </c>
      <c r="B148" s="1251" t="s">
        <v>1231</v>
      </c>
      <c r="C148" s="1251">
        <f>'Project Costs &amp; Basis'!E42</f>
        <v>0</v>
      </c>
      <c r="D148" s="1251">
        <f>'Project Costs &amp; Basis'!Q42</f>
        <v>0</v>
      </c>
      <c r="E148" s="1251">
        <f>'Project Costs &amp; Basis'!S42</f>
        <v>0</v>
      </c>
      <c r="G148" s="1251" t="s">
        <v>1214</v>
      </c>
      <c r="H148" s="1251">
        <f>Table6[[#This Row],[Total Cost]]</f>
        <v>0</v>
      </c>
      <c r="I148" s="1251">
        <f>D148</f>
        <v>0</v>
      </c>
      <c r="J148" s="1251">
        <f>IF($B$3="4Percent", E148,0)</f>
        <v>0</v>
      </c>
      <c r="K148" s="1251">
        <f>IF($B$3="9Percent",E148,0)</f>
        <v>0</v>
      </c>
      <c r="L148" s="1251" t="s">
        <v>1214</v>
      </c>
    </row>
    <row r="149" spans="1:12" x14ac:dyDescent="0.25">
      <c r="A149" s="1256" t="s">
        <v>1239</v>
      </c>
      <c r="B149" s="1251" t="s">
        <v>1231</v>
      </c>
      <c r="C149" s="1251">
        <f>'Project Costs &amp; Basis'!E44</f>
        <v>0</v>
      </c>
      <c r="D149" s="1251">
        <f>'Project Costs &amp; Basis'!Q44</f>
        <v>0</v>
      </c>
      <c r="E149" s="1251">
        <f>'Project Costs &amp; Basis'!S44</f>
        <v>0</v>
      </c>
      <c r="G149" s="1251" t="s">
        <v>1215</v>
      </c>
      <c r="H149" s="1251">
        <f>Table6[[#This Row],[Total Cost]]</f>
        <v>0</v>
      </c>
      <c r="I149" s="1251">
        <f>D149</f>
        <v>0</v>
      </c>
      <c r="J149" s="1251">
        <f>IF($B$3="4Percent", E149,0)</f>
        <v>0</v>
      </c>
      <c r="K149" s="1251">
        <f>IF($B$3="9Percent",E149,0)</f>
        <v>0</v>
      </c>
      <c r="L149" s="1251" t="s">
        <v>1215</v>
      </c>
    </row>
    <row r="150" spans="1:12" x14ac:dyDescent="0.25">
      <c r="A150" s="1256" t="s">
        <v>226</v>
      </c>
      <c r="B150" s="1251" t="s">
        <v>1231</v>
      </c>
      <c r="C150" s="1251">
        <f>'Project Costs &amp; Basis'!E46</f>
        <v>0</v>
      </c>
      <c r="D150" s="1251">
        <f>'Project Costs &amp; Basis'!Q46</f>
        <v>0</v>
      </c>
      <c r="E150" s="1251">
        <f>'Project Costs &amp; Basis'!S46</f>
        <v>0</v>
      </c>
      <c r="G150" s="1260" t="s">
        <v>1266</v>
      </c>
      <c r="H150" s="1251">
        <f>Table6[[#This Row],[Total Cost]]</f>
        <v>0</v>
      </c>
      <c r="I150" s="1251">
        <f>D150</f>
        <v>0</v>
      </c>
      <c r="J150" s="1251">
        <f>IF($B$3="4Percent", E150,0)</f>
        <v>0</v>
      </c>
      <c r="K150" s="1251">
        <f>IF($B$3="9Percent",E150,0)</f>
        <v>0</v>
      </c>
      <c r="L150" s="1251" t="s">
        <v>1258</v>
      </c>
    </row>
    <row r="151" spans="1:12" x14ac:dyDescent="0.25">
      <c r="A151" s="1257" t="s">
        <v>1629</v>
      </c>
      <c r="B151" s="1254" t="s">
        <v>1231</v>
      </c>
      <c r="C151" s="1254">
        <f>'Project Costs &amp; Basis'!E48</f>
        <v>0</v>
      </c>
      <c r="D151" s="1254">
        <f>'Project Costs &amp; Basis'!Q48</f>
        <v>0</v>
      </c>
      <c r="E151" s="1254">
        <f>'Project Costs &amp; Basis'!S48</f>
        <v>0</v>
      </c>
      <c r="G151" s="1232"/>
      <c r="H151" s="1232"/>
      <c r="I151" s="1232"/>
      <c r="J151" s="1232"/>
      <c r="K151" s="1232"/>
      <c r="L151" s="1232"/>
    </row>
    <row r="152" spans="1:12" x14ac:dyDescent="0.25">
      <c r="A152" s="1256" t="s">
        <v>1216</v>
      </c>
      <c r="B152" s="1251" t="s">
        <v>1231</v>
      </c>
      <c r="C152" s="1251">
        <f>'Project Costs &amp; Basis'!E53</f>
        <v>0</v>
      </c>
      <c r="D152" s="1251">
        <f>'Project Costs &amp; Basis'!Q53</f>
        <v>0</v>
      </c>
      <c r="E152" s="1251">
        <f>'Project Costs &amp; Basis'!S53</f>
        <v>0</v>
      </c>
      <c r="G152" s="1251" t="s">
        <v>1216</v>
      </c>
      <c r="H152" s="1251">
        <f>Table6[[#This Row],[Total Cost]]</f>
        <v>0</v>
      </c>
      <c r="I152" s="1251">
        <f t="shared" ref="I152:I158" si="9">D152</f>
        <v>0</v>
      </c>
      <c r="J152" s="1251">
        <f t="shared" ref="J152:J158" si="10">IF($B$3="4Percent", E152,0)</f>
        <v>0</v>
      </c>
      <c r="K152" s="1251">
        <f t="shared" ref="K152:K158" si="11">IF($B$3="9Percent",E152,0)</f>
        <v>0</v>
      </c>
      <c r="L152" s="1251" t="s">
        <v>1216</v>
      </c>
    </row>
    <row r="153" spans="1:12" x14ac:dyDescent="0.25">
      <c r="A153" s="1256" t="s">
        <v>1240</v>
      </c>
      <c r="B153" s="1251" t="s">
        <v>1231</v>
      </c>
      <c r="C153" s="1251">
        <f>'Project Costs &amp; Basis'!E55</f>
        <v>0</v>
      </c>
      <c r="D153" s="1251">
        <f>'Project Costs &amp; Basis'!Q55</f>
        <v>0</v>
      </c>
      <c r="E153" s="1251">
        <f>'Project Costs &amp; Basis'!S55</f>
        <v>0</v>
      </c>
      <c r="G153" s="1251" t="s">
        <v>1217</v>
      </c>
      <c r="H153" s="1251">
        <f>Table6[[#This Row],[Total Cost]]</f>
        <v>0</v>
      </c>
      <c r="I153" s="1251">
        <f t="shared" si="9"/>
        <v>0</v>
      </c>
      <c r="J153" s="1251">
        <f t="shared" si="10"/>
        <v>0</v>
      </c>
      <c r="K153" s="1251">
        <f t="shared" si="11"/>
        <v>0</v>
      </c>
      <c r="L153" s="1251" t="s">
        <v>1217</v>
      </c>
    </row>
    <row r="154" spans="1:12" x14ac:dyDescent="0.25">
      <c r="A154" s="1256" t="s">
        <v>432</v>
      </c>
      <c r="B154" s="1251" t="s">
        <v>1231</v>
      </c>
      <c r="C154" s="1251">
        <f>'Project Costs &amp; Basis'!E57</f>
        <v>0</v>
      </c>
      <c r="D154" s="1251">
        <f>'Project Costs &amp; Basis'!Q57</f>
        <v>0</v>
      </c>
      <c r="E154" s="1251">
        <f>'Project Costs &amp; Basis'!S57</f>
        <v>0</v>
      </c>
      <c r="G154" s="1251" t="s">
        <v>1529</v>
      </c>
      <c r="H154" s="1251">
        <f>Table6[[#This Row],[Total Cost]]</f>
        <v>0</v>
      </c>
      <c r="I154" s="1251">
        <f t="shared" si="9"/>
        <v>0</v>
      </c>
      <c r="J154" s="1251">
        <f t="shared" si="10"/>
        <v>0</v>
      </c>
      <c r="K154" s="1251">
        <f t="shared" si="11"/>
        <v>0</v>
      </c>
      <c r="L154" s="1251" t="s">
        <v>1529</v>
      </c>
    </row>
    <row r="155" spans="1:12" x14ac:dyDescent="0.25">
      <c r="A155" s="1256" t="s">
        <v>1241</v>
      </c>
      <c r="B155" s="1251" t="s">
        <v>1231</v>
      </c>
      <c r="C155" s="1251">
        <f>'Project Costs &amp; Basis'!E59</f>
        <v>0</v>
      </c>
      <c r="D155" s="1251">
        <f>'Project Costs &amp; Basis'!Q59</f>
        <v>0</v>
      </c>
      <c r="E155" s="1251">
        <f>'Project Costs &amp; Basis'!S59</f>
        <v>0</v>
      </c>
      <c r="G155" s="1251" t="s">
        <v>1218</v>
      </c>
      <c r="H155" s="1251">
        <f>Table6[[#This Row],[Total Cost]]</f>
        <v>0</v>
      </c>
      <c r="I155" s="1251">
        <f t="shared" si="9"/>
        <v>0</v>
      </c>
      <c r="J155" s="1251">
        <f t="shared" si="10"/>
        <v>0</v>
      </c>
      <c r="K155" s="1251">
        <f t="shared" si="11"/>
        <v>0</v>
      </c>
      <c r="L155" s="1251" t="s">
        <v>1218</v>
      </c>
    </row>
    <row r="156" spans="1:12" x14ac:dyDescent="0.25">
      <c r="A156" s="1256" t="s">
        <v>1242</v>
      </c>
      <c r="B156" s="1251" t="s">
        <v>1231</v>
      </c>
      <c r="C156" s="1251">
        <f>'Project Costs &amp; Basis'!E61</f>
        <v>0</v>
      </c>
      <c r="D156" s="1251">
        <f>'Project Costs &amp; Basis'!Q61</f>
        <v>0</v>
      </c>
      <c r="E156" s="1251">
        <f>'Project Costs &amp; Basis'!S61</f>
        <v>0</v>
      </c>
      <c r="G156" s="1260" t="s">
        <v>1242</v>
      </c>
      <c r="H156" s="1251">
        <f>Table6[[#This Row],[Total Cost]]</f>
        <v>0</v>
      </c>
      <c r="I156" s="1251">
        <f t="shared" si="9"/>
        <v>0</v>
      </c>
      <c r="J156" s="1251">
        <f t="shared" si="10"/>
        <v>0</v>
      </c>
      <c r="K156" s="1251">
        <f t="shared" si="11"/>
        <v>0</v>
      </c>
      <c r="L156" s="1251" t="s">
        <v>1262</v>
      </c>
    </row>
    <row r="157" spans="1:12" x14ac:dyDescent="0.25">
      <c r="A157" s="1256" t="s">
        <v>1243</v>
      </c>
      <c r="B157" s="1251" t="s">
        <v>1231</v>
      </c>
      <c r="C157" s="1251">
        <f>'Project Costs &amp; Basis'!E63</f>
        <v>0</v>
      </c>
      <c r="D157" s="1251">
        <f>'Project Costs &amp; Basis'!Q63</f>
        <v>0</v>
      </c>
      <c r="E157" s="1251">
        <f>'Project Costs &amp; Basis'!S63</f>
        <v>0</v>
      </c>
      <c r="G157" s="1260" t="s">
        <v>1243</v>
      </c>
      <c r="H157" s="1251">
        <f>Table6[[#This Row],[Total Cost]]</f>
        <v>0</v>
      </c>
      <c r="I157" s="1251">
        <f t="shared" si="9"/>
        <v>0</v>
      </c>
      <c r="J157" s="1251">
        <f t="shared" si="10"/>
        <v>0</v>
      </c>
      <c r="K157" s="1251">
        <f t="shared" si="11"/>
        <v>0</v>
      </c>
      <c r="L157" s="1251" t="s">
        <v>1263</v>
      </c>
    </row>
    <row r="158" spans="1:12" x14ac:dyDescent="0.25">
      <c r="A158" s="1256" t="s">
        <v>226</v>
      </c>
      <c r="B158" s="1251" t="s">
        <v>1231</v>
      </c>
      <c r="C158" s="1251">
        <f>'Project Costs &amp; Basis'!E65</f>
        <v>0</v>
      </c>
      <c r="D158" s="1251">
        <f>'Project Costs &amp; Basis'!Q65</f>
        <v>0</v>
      </c>
      <c r="E158" s="1251">
        <f>'Project Costs &amp; Basis'!S65</f>
        <v>0</v>
      </c>
      <c r="G158" s="1260" t="s">
        <v>1267</v>
      </c>
      <c r="H158" s="1251">
        <f>Table6[[#This Row],[Total Cost]]</f>
        <v>0</v>
      </c>
      <c r="I158" s="1251">
        <f t="shared" si="9"/>
        <v>0</v>
      </c>
      <c r="J158" s="1251">
        <f t="shared" si="10"/>
        <v>0</v>
      </c>
      <c r="K158" s="1251">
        <f t="shared" si="11"/>
        <v>0</v>
      </c>
      <c r="L158" s="1251" t="s">
        <v>1259</v>
      </c>
    </row>
    <row r="159" spans="1:12" x14ac:dyDescent="0.25">
      <c r="A159" s="1257" t="s">
        <v>1630</v>
      </c>
      <c r="B159" s="1254" t="s">
        <v>1231</v>
      </c>
      <c r="C159" s="1254">
        <f>'Project Costs &amp; Basis'!E67</f>
        <v>0</v>
      </c>
      <c r="D159" s="1254">
        <f>'Project Costs &amp; Basis'!Q67</f>
        <v>0</v>
      </c>
      <c r="E159" s="1254">
        <f>'Project Costs &amp; Basis'!S67</f>
        <v>0</v>
      </c>
      <c r="G159" s="1232"/>
      <c r="H159" s="1232"/>
      <c r="I159" s="1232"/>
      <c r="J159" s="1232"/>
      <c r="K159" s="1232"/>
      <c r="L159" s="1232"/>
    </row>
    <row r="160" spans="1:12" x14ac:dyDescent="0.25">
      <c r="A160" s="1256" t="s">
        <v>1076</v>
      </c>
      <c r="B160" s="1251" t="s">
        <v>1231</v>
      </c>
      <c r="C160" s="1251">
        <f>'Project Costs &amp; Basis'!E73</f>
        <v>0</v>
      </c>
      <c r="D160" s="1251">
        <f>'Project Costs &amp; Basis'!Q73</f>
        <v>0</v>
      </c>
      <c r="E160" s="1251">
        <f>'Project Costs &amp; Basis'!S73</f>
        <v>0</v>
      </c>
      <c r="G160" s="1251" t="s">
        <v>1530</v>
      </c>
      <c r="H160" s="1251">
        <f>Table6[[#This Row],[Total Cost]]</f>
        <v>0</v>
      </c>
      <c r="I160" s="1251">
        <f>D160</f>
        <v>0</v>
      </c>
      <c r="J160" s="1251">
        <f>IF($B$3="4Percent", E160,0)</f>
        <v>0</v>
      </c>
      <c r="K160" s="1251">
        <f>IF($B$3="9Percent",E160,0)</f>
        <v>0</v>
      </c>
      <c r="L160" s="1251" t="s">
        <v>1530</v>
      </c>
    </row>
    <row r="161" spans="1:12" x14ac:dyDescent="0.25">
      <c r="A161" s="1256" t="s">
        <v>1047</v>
      </c>
      <c r="B161" s="1251" t="s">
        <v>1231</v>
      </c>
      <c r="C161" s="1251">
        <f>'Project Costs &amp; Basis'!E75</f>
        <v>0</v>
      </c>
      <c r="D161" s="1251">
        <f>'Project Costs &amp; Basis'!Q75</f>
        <v>0</v>
      </c>
      <c r="E161" s="1251">
        <f>'Project Costs &amp; Basis'!S75</f>
        <v>0</v>
      </c>
      <c r="G161" s="1251" t="s">
        <v>1219</v>
      </c>
      <c r="H161" s="1251">
        <f>Table6[[#This Row],[Total Cost]]</f>
        <v>0</v>
      </c>
      <c r="I161" s="1251">
        <f>D161</f>
        <v>0</v>
      </c>
      <c r="J161" s="1251">
        <f>IF($B$3="4Percent", E161,0)</f>
        <v>0</v>
      </c>
      <c r="K161" s="1251">
        <f>IF($B$3="9Percent",E161,0)</f>
        <v>0</v>
      </c>
      <c r="L161" s="1251" t="s">
        <v>1219</v>
      </c>
    </row>
    <row r="162" spans="1:12" x14ac:dyDescent="0.25">
      <c r="A162" s="1256" t="s">
        <v>1244</v>
      </c>
      <c r="B162" s="1251" t="s">
        <v>1231</v>
      </c>
      <c r="C162" s="1251">
        <f>'Project Costs &amp; Basis'!E77</f>
        <v>0</v>
      </c>
      <c r="D162" s="1251">
        <f>'Project Costs &amp; Basis'!Q77</f>
        <v>0</v>
      </c>
      <c r="E162" s="1251">
        <f>'Project Costs &amp; Basis'!S77</f>
        <v>0</v>
      </c>
      <c r="G162" s="1260" t="s">
        <v>1244</v>
      </c>
      <c r="H162" s="1251">
        <f>Table6[[#This Row],[Total Cost]]</f>
        <v>0</v>
      </c>
      <c r="I162" s="1251">
        <f>D162</f>
        <v>0</v>
      </c>
      <c r="J162" s="1251">
        <f>IF($B$3="4Percent", E162,0)</f>
        <v>0</v>
      </c>
      <c r="K162" s="1251">
        <f>IF($B$3="9Percent",E162,0)</f>
        <v>0</v>
      </c>
      <c r="L162" s="1251" t="s">
        <v>1255</v>
      </c>
    </row>
    <row r="163" spans="1:12" x14ac:dyDescent="0.25">
      <c r="A163" s="1256" t="s">
        <v>1245</v>
      </c>
      <c r="B163" s="1251" t="s">
        <v>1231</v>
      </c>
      <c r="C163" s="1251">
        <f>'Project Costs &amp; Basis'!E79</f>
        <v>0</v>
      </c>
      <c r="D163" s="1251">
        <f>'Project Costs &amp; Basis'!Q79</f>
        <v>0</v>
      </c>
      <c r="E163" s="1251">
        <f>'Project Costs &amp; Basis'!S79</f>
        <v>0</v>
      </c>
      <c r="G163" s="1260" t="s">
        <v>1245</v>
      </c>
      <c r="H163" s="1251">
        <f>Table6[[#This Row],[Total Cost]]</f>
        <v>0</v>
      </c>
      <c r="I163" s="1251">
        <f>D163</f>
        <v>0</v>
      </c>
      <c r="J163" s="1251">
        <f>IF($B$3="4Percent", E163,0)</f>
        <v>0</v>
      </c>
      <c r="K163" s="1251">
        <f>IF($B$3="9Percent",E163,0)</f>
        <v>0</v>
      </c>
      <c r="L163" s="1251" t="s">
        <v>1257</v>
      </c>
    </row>
    <row r="164" spans="1:12" x14ac:dyDescent="0.25">
      <c r="A164" s="1256" t="s">
        <v>226</v>
      </c>
      <c r="B164" s="1251" t="s">
        <v>1231</v>
      </c>
      <c r="C164" s="1251">
        <f>'Project Costs &amp; Basis'!E81</f>
        <v>0</v>
      </c>
      <c r="D164" s="1251">
        <f>'Project Costs &amp; Basis'!Q81</f>
        <v>0</v>
      </c>
      <c r="E164" s="1251">
        <f>'Project Costs &amp; Basis'!S81</f>
        <v>0</v>
      </c>
      <c r="G164" s="1260" t="s">
        <v>1268</v>
      </c>
      <c r="H164" s="1251">
        <f>Table6[[#This Row],[Total Cost]]</f>
        <v>0</v>
      </c>
      <c r="I164" s="1251">
        <f>D164</f>
        <v>0</v>
      </c>
      <c r="J164" s="1251">
        <f>IF($B$3="4Percent", E164,0)</f>
        <v>0</v>
      </c>
      <c r="K164" s="1251">
        <f>IF($B$3="9Percent",E164,0)</f>
        <v>0</v>
      </c>
      <c r="L164" s="1251" t="s">
        <v>1260</v>
      </c>
    </row>
    <row r="165" spans="1:12" x14ac:dyDescent="0.25">
      <c r="A165" s="1257" t="s">
        <v>1631</v>
      </c>
      <c r="B165" s="1254" t="s">
        <v>1231</v>
      </c>
      <c r="C165" s="1254">
        <f>'Project Costs &amp; Basis'!E83</f>
        <v>0</v>
      </c>
      <c r="D165" s="1254">
        <f>'Project Costs &amp; Basis'!Q83</f>
        <v>0</v>
      </c>
      <c r="E165" s="1254">
        <f>'Project Costs &amp; Basis'!S83</f>
        <v>0</v>
      </c>
      <c r="G165" s="1232"/>
      <c r="H165" s="1232"/>
      <c r="I165" s="1232"/>
      <c r="J165" s="1232"/>
      <c r="K165" s="1232"/>
      <c r="L165" s="1232"/>
    </row>
    <row r="166" spans="1:12" x14ac:dyDescent="0.25">
      <c r="A166" s="1256" t="s">
        <v>424</v>
      </c>
      <c r="B166" s="1251" t="s">
        <v>1231</v>
      </c>
      <c r="C166" s="1251">
        <f>'Project Costs &amp; Basis'!E88</f>
        <v>0</v>
      </c>
      <c r="D166" s="1251">
        <f>'Project Costs &amp; Basis'!Q88</f>
        <v>0</v>
      </c>
      <c r="E166" s="1251">
        <f>'Project Costs &amp; Basis'!S88</f>
        <v>0</v>
      </c>
      <c r="G166" s="1251" t="s">
        <v>1253</v>
      </c>
      <c r="H166" s="1251">
        <f>Table6[[#This Row],[Total Cost]]</f>
        <v>0</v>
      </c>
      <c r="I166" s="1251">
        <f>D166</f>
        <v>0</v>
      </c>
      <c r="J166" s="1251">
        <f>IF($B$3="4Percent", E166,0)</f>
        <v>0</v>
      </c>
      <c r="K166" s="1251">
        <f>IF($B$3="9Percent",E166,0)</f>
        <v>0</v>
      </c>
      <c r="L166" s="1251" t="s">
        <v>1253</v>
      </c>
    </row>
    <row r="167" spans="1:12" x14ac:dyDescent="0.25">
      <c r="A167" s="1256" t="s">
        <v>176</v>
      </c>
      <c r="B167" s="1251" t="s">
        <v>1231</v>
      </c>
      <c r="C167" s="1251">
        <f>'Project Costs &amp; Basis'!E90</f>
        <v>0</v>
      </c>
      <c r="D167" s="1251">
        <f>'Project Costs &amp; Basis'!Q90</f>
        <v>0</v>
      </c>
      <c r="E167" s="1251">
        <f>'Project Costs &amp; Basis'!S90</f>
        <v>0</v>
      </c>
      <c r="G167" s="1260" t="s">
        <v>176</v>
      </c>
      <c r="H167" s="1251">
        <f>Table6[[#This Row],[Total Cost]]</f>
        <v>0</v>
      </c>
      <c r="I167" s="1251">
        <f>D167</f>
        <v>0</v>
      </c>
      <c r="J167" s="1251">
        <f>IF($B$3="4Percent", E167,0)</f>
        <v>0</v>
      </c>
      <c r="K167" s="1251">
        <f>IF($B$3="9Percent",E167,0)</f>
        <v>0</v>
      </c>
      <c r="L167" s="1251" t="s">
        <v>1264</v>
      </c>
    </row>
    <row r="168" spans="1:12" x14ac:dyDescent="0.25">
      <c r="A168" s="1256" t="s">
        <v>420</v>
      </c>
      <c r="B168" s="1251" t="s">
        <v>1231</v>
      </c>
      <c r="C168" s="1251">
        <f>'Project Costs &amp; Basis'!E92</f>
        <v>0</v>
      </c>
      <c r="D168" s="1251">
        <f>'Project Costs &amp; Basis'!Q92</f>
        <v>0</v>
      </c>
      <c r="E168" s="1251">
        <f>'Project Costs &amp; Basis'!S92</f>
        <v>0</v>
      </c>
      <c r="G168" s="1260" t="s">
        <v>420</v>
      </c>
      <c r="H168" s="1251">
        <f>Table6[[#This Row],[Total Cost]]</f>
        <v>0</v>
      </c>
      <c r="I168" s="1251">
        <f>D168</f>
        <v>0</v>
      </c>
      <c r="J168" s="1251">
        <f>IF($B$3="4Percent", E168,0)</f>
        <v>0</v>
      </c>
      <c r="K168" s="1251">
        <f>IF($B$3="9Percent",E168,0)</f>
        <v>0</v>
      </c>
      <c r="L168" s="1251" t="s">
        <v>1533</v>
      </c>
    </row>
    <row r="169" spans="1:12" x14ac:dyDescent="0.25">
      <c r="A169" s="1256" t="s">
        <v>549</v>
      </c>
      <c r="B169" s="1251" t="s">
        <v>1231</v>
      </c>
      <c r="C169" s="1251">
        <f>'Project Costs &amp; Basis'!E94</f>
        <v>0</v>
      </c>
      <c r="D169" s="1251">
        <f>'Project Costs &amp; Basis'!Q94</f>
        <v>0</v>
      </c>
      <c r="E169" s="1251">
        <f>'Project Costs &amp; Basis'!S94</f>
        <v>0</v>
      </c>
      <c r="G169" s="1260" t="s">
        <v>549</v>
      </c>
      <c r="H169" s="1251">
        <f>Table6[[#This Row],[Total Cost]]</f>
        <v>0</v>
      </c>
      <c r="I169" s="1251">
        <f>D169</f>
        <v>0</v>
      </c>
      <c r="J169" s="1251">
        <f>IF($B$3="4Percent", E169,0)</f>
        <v>0</v>
      </c>
      <c r="K169" s="1251">
        <f>IF($B$3="9Percent",E169,0)</f>
        <v>0</v>
      </c>
      <c r="L169" s="1251" t="s">
        <v>1534</v>
      </c>
    </row>
    <row r="170" spans="1:12" x14ac:dyDescent="0.25">
      <c r="A170" s="1256" t="s">
        <v>226</v>
      </c>
      <c r="B170" s="1251" t="s">
        <v>1231</v>
      </c>
      <c r="C170" s="1251">
        <f>'Project Costs &amp; Basis'!E96</f>
        <v>0</v>
      </c>
      <c r="D170" s="1251">
        <f>'Project Costs &amp; Basis'!Q96</f>
        <v>0</v>
      </c>
      <c r="E170" s="1251">
        <f>'Project Costs &amp; Basis'!S96</f>
        <v>0</v>
      </c>
      <c r="G170" s="1260" t="s">
        <v>1271</v>
      </c>
      <c r="H170" s="1251">
        <f>Table6[[#This Row],[Total Cost]]</f>
        <v>0</v>
      </c>
      <c r="I170" s="1251">
        <f>D170</f>
        <v>0</v>
      </c>
      <c r="J170" s="1251">
        <f>IF($B$3="4Percent", E170,0)</f>
        <v>0</v>
      </c>
      <c r="K170" s="1251">
        <f>IF($B$3="9Percent",E170,0)</f>
        <v>0</v>
      </c>
      <c r="L170" s="1251" t="s">
        <v>1261</v>
      </c>
    </row>
    <row r="171" spans="1:12" x14ac:dyDescent="0.25">
      <c r="A171" s="1257" t="s">
        <v>1632</v>
      </c>
      <c r="B171" s="1254" t="s">
        <v>1231</v>
      </c>
      <c r="C171" s="1254">
        <f>'Project Costs &amp; Basis'!E98</f>
        <v>0</v>
      </c>
      <c r="D171" s="1254">
        <f>'Project Costs &amp; Basis'!Q98</f>
        <v>0</v>
      </c>
      <c r="E171" s="1254">
        <f>'Project Costs &amp; Basis'!S98</f>
        <v>0</v>
      </c>
      <c r="G171" s="1232"/>
      <c r="H171" s="1232"/>
      <c r="I171" s="1232"/>
      <c r="J171" s="1232"/>
      <c r="K171" s="1232"/>
      <c r="L171" s="1232"/>
    </row>
    <row r="172" spans="1:12" x14ac:dyDescent="0.25">
      <c r="A172" s="1257" t="s">
        <v>1634</v>
      </c>
      <c r="B172" s="1254" t="s">
        <v>1231</v>
      </c>
      <c r="C172" s="1254">
        <f>'Project Costs &amp; Basis'!E112</f>
        <v>0</v>
      </c>
      <c r="D172" s="1254">
        <f>SUM('Project Costs &amp; Basis'!Q102:Q110)</f>
        <v>0</v>
      </c>
      <c r="E172" s="1254">
        <f>SUM('Project Costs &amp; Basis'!S102:S110)</f>
        <v>0</v>
      </c>
      <c r="G172" s="1260" t="s">
        <v>418</v>
      </c>
      <c r="H172" s="1251">
        <f>Table6[[#This Row],[Total Cost]]</f>
        <v>0</v>
      </c>
      <c r="I172" s="1251">
        <f>D172</f>
        <v>0</v>
      </c>
      <c r="J172" s="1251">
        <f>IF($B$3="4Percent", E172,0)</f>
        <v>0</v>
      </c>
      <c r="K172" s="1251">
        <f>IF($B$3="9Percent",E172,0)</f>
        <v>0</v>
      </c>
      <c r="L172" s="1251" t="s">
        <v>1535</v>
      </c>
    </row>
    <row r="173" spans="1:12" x14ac:dyDescent="0.25">
      <c r="A173" s="1256" t="s">
        <v>1246</v>
      </c>
      <c r="B173" s="1251" t="s">
        <v>1231</v>
      </c>
      <c r="C173" s="1251">
        <f>'Project Costs &amp; Basis'!E116</f>
        <v>0</v>
      </c>
      <c r="D173" s="1251">
        <f>'Project Costs &amp; Basis'!Q116</f>
        <v>0</v>
      </c>
      <c r="E173" s="1251">
        <f>'Project Costs &amp; Basis'!S116</f>
        <v>0</v>
      </c>
      <c r="G173" s="1260" t="s">
        <v>1246</v>
      </c>
      <c r="H173" s="1251">
        <f>Table6[[#This Row],[Total Cost]]</f>
        <v>0</v>
      </c>
      <c r="I173" s="1251">
        <f>D173</f>
        <v>0</v>
      </c>
      <c r="J173" s="1251">
        <f>IF($B$3="4Percent", E173,0)</f>
        <v>0</v>
      </c>
      <c r="K173" s="1251">
        <f>IF($B$3="9Percent",E173,0)</f>
        <v>0</v>
      </c>
      <c r="L173" s="1251" t="s">
        <v>1536</v>
      </c>
    </row>
    <row r="174" spans="1:12" x14ac:dyDescent="0.25">
      <c r="A174" s="1256" t="s">
        <v>414</v>
      </c>
      <c r="B174" s="1251" t="s">
        <v>1231</v>
      </c>
      <c r="C174" s="1251">
        <f>'Project Costs &amp; Basis'!E118</f>
        <v>0</v>
      </c>
      <c r="D174" s="1251">
        <f>'Project Costs &amp; Basis'!Q118</f>
        <v>0</v>
      </c>
      <c r="E174" s="1251">
        <f>'Project Costs &amp; Basis'!S118</f>
        <v>0</v>
      </c>
      <c r="G174" s="1232" t="s">
        <v>1531</v>
      </c>
      <c r="H174" s="1232"/>
      <c r="I174" s="1232"/>
      <c r="J174" s="1232"/>
      <c r="K174" s="1232"/>
      <c r="L174" s="1232" t="s">
        <v>1531</v>
      </c>
    </row>
    <row r="175" spans="1:12" x14ac:dyDescent="0.25">
      <c r="A175" s="1256" t="s">
        <v>413</v>
      </c>
      <c r="B175" s="1251" t="s">
        <v>1231</v>
      </c>
      <c r="C175" s="1251">
        <f>'Project Costs &amp; Basis'!E120</f>
        <v>0</v>
      </c>
      <c r="D175" s="1251">
        <f>'Project Costs &amp; Basis'!Q120</f>
        <v>0</v>
      </c>
      <c r="E175" s="1251">
        <f>'Project Costs &amp; Basis'!S120</f>
        <v>0</v>
      </c>
      <c r="G175" s="1251" t="s">
        <v>1254</v>
      </c>
      <c r="H175" s="1251">
        <f>SUM(C174:C175)</f>
        <v>0</v>
      </c>
      <c r="I175" s="1251">
        <f>SUM(D174:D175)</f>
        <v>0</v>
      </c>
      <c r="J175" s="1251">
        <f>IF($B$3="4Percent", SUM(E174:E175),0)</f>
        <v>0</v>
      </c>
      <c r="K175" s="1251">
        <f>IF($B$3="9Percent",SUM(E174:E175),0)</f>
        <v>0</v>
      </c>
      <c r="L175" s="1251" t="s">
        <v>1254</v>
      </c>
    </row>
    <row r="176" spans="1:12" x14ac:dyDescent="0.25">
      <c r="A176" s="1258" t="s">
        <v>1633</v>
      </c>
      <c r="B176" s="1254" t="s">
        <v>1231</v>
      </c>
      <c r="C176" s="1254">
        <f>'Project Costs &amp; Basis'!E122</f>
        <v>0</v>
      </c>
      <c r="D176" s="1254">
        <f>'Project Costs &amp; Basis'!Q122</f>
        <v>0</v>
      </c>
      <c r="E176" s="1254">
        <f>'Project Costs &amp; Basis'!S122</f>
        <v>0</v>
      </c>
      <c r="G176" t="s">
        <v>278</v>
      </c>
      <c r="H176">
        <f>SUBTOTAL(109,Table7[Total Costs])</f>
        <v>0</v>
      </c>
      <c r="I176" s="1262">
        <f>SUBTOTAL(109,Table7[Acquisition])</f>
        <v>0</v>
      </c>
      <c r="J176" s="1262">
        <f>SUBTOTAL(109,Table7[4% Construction])</f>
        <v>0</v>
      </c>
      <c r="K176" s="1262">
        <f>SUBTOTAL(109,Table7[9% Construction])</f>
        <v>0</v>
      </c>
      <c r="L176" s="1262"/>
    </row>
    <row r="177" spans="1:32" x14ac:dyDescent="0.25">
      <c r="C177" t="s">
        <v>1191</v>
      </c>
    </row>
    <row r="181" spans="1:32" ht="18" x14ac:dyDescent="0.35">
      <c r="A181" s="1224" t="s">
        <v>1640</v>
      </c>
      <c r="B181" s="1224" t="s">
        <v>1636</v>
      </c>
      <c r="C181" s="1224"/>
      <c r="D181" s="1224"/>
      <c r="E181" s="1224"/>
      <c r="F181" s="1224"/>
      <c r="G181" s="1224"/>
      <c r="H181" s="1224"/>
      <c r="I181" s="1224"/>
      <c r="J181" s="1224"/>
      <c r="K181" s="1227"/>
      <c r="L181" s="1225" t="s">
        <v>1617</v>
      </c>
      <c r="M181" s="1225" t="s">
        <v>1637</v>
      </c>
      <c r="N181" s="1225" t="s">
        <v>356</v>
      </c>
      <c r="O181" s="1273"/>
      <c r="P181" s="1273"/>
      <c r="Q181" s="1273"/>
      <c r="R181" s="1273"/>
      <c r="S181" s="1273"/>
      <c r="U181" s="1226" t="s">
        <v>1638</v>
      </c>
      <c r="V181" s="1274"/>
      <c r="W181" s="1226" t="s">
        <v>356</v>
      </c>
      <c r="X181" s="1274"/>
      <c r="Y181" s="1274"/>
      <c r="Z181" s="1274"/>
      <c r="AB181" s="1225" t="s">
        <v>1639</v>
      </c>
      <c r="AC181" s="1225"/>
      <c r="AD181" s="1225"/>
      <c r="AE181" s="1273"/>
      <c r="AF181" s="1273"/>
    </row>
    <row r="182" spans="1:32" s="1291" customFormat="1" ht="25.2" x14ac:dyDescent="0.25">
      <c r="A182" s="1291" t="s">
        <v>1178</v>
      </c>
      <c r="B182" s="1291" t="s">
        <v>1403</v>
      </c>
      <c r="C182" s="1291" t="s">
        <v>1229</v>
      </c>
      <c r="D182" s="1291" t="s">
        <v>1292</v>
      </c>
      <c r="E182" s="1291" t="s">
        <v>358</v>
      </c>
      <c r="F182" s="1291" t="s">
        <v>356</v>
      </c>
      <c r="G182" s="1291" t="s">
        <v>278</v>
      </c>
      <c r="H182" s="1291" t="s">
        <v>387</v>
      </c>
      <c r="I182" s="1291" t="s">
        <v>964</v>
      </c>
      <c r="J182" s="1291" t="s">
        <v>1293</v>
      </c>
      <c r="L182" s="1291" t="s">
        <v>1294</v>
      </c>
      <c r="M182" s="1291" t="s">
        <v>1295</v>
      </c>
      <c r="N182" s="1291" t="s">
        <v>1296</v>
      </c>
      <c r="O182" s="1291" t="s">
        <v>964</v>
      </c>
      <c r="P182" s="1291" t="s">
        <v>1102</v>
      </c>
      <c r="Q182" s="1291" t="s">
        <v>1297</v>
      </c>
      <c r="R182" s="1291" t="s">
        <v>1298</v>
      </c>
      <c r="S182" s="1291" t="s">
        <v>333</v>
      </c>
      <c r="U182" s="1291" t="s">
        <v>1294</v>
      </c>
      <c r="V182" s="1291" t="s">
        <v>1299</v>
      </c>
      <c r="W182" s="1291" t="s">
        <v>1300</v>
      </c>
      <c r="X182" s="1291" t="s">
        <v>333</v>
      </c>
      <c r="Y182" s="1291" t="s">
        <v>1301</v>
      </c>
      <c r="Z182" s="1291" t="s">
        <v>1102</v>
      </c>
      <c r="AB182" s="1291" t="s">
        <v>1469</v>
      </c>
      <c r="AC182" s="1291" t="s">
        <v>1711</v>
      </c>
      <c r="AD182" s="1291" t="s">
        <v>358</v>
      </c>
      <c r="AE182" s="1291" t="s">
        <v>1712</v>
      </c>
      <c r="AF182" s="1291" t="s">
        <v>356</v>
      </c>
    </row>
    <row r="183" spans="1:32" x14ac:dyDescent="0.25">
      <c r="A183" t="s">
        <v>1185</v>
      </c>
      <c r="B183" t="s">
        <v>1406</v>
      </c>
      <c r="C183" t="str">
        <f>IF('MH Underwriting'!C78="","",'MH Underwriting'!C78)</f>
        <v>Fed Tax Credit Capital</v>
      </c>
      <c r="D183" t="str">
        <f>IF('MH Underwriting'!F78="","",'MH Underwriting'!F78)</f>
        <v/>
      </c>
      <c r="E183" s="1275" t="str">
        <f>IF(SUM('MH Underwriting'!G78:L78)=0,"",SUM('MH Underwriting'!G78:L78))</f>
        <v/>
      </c>
      <c r="F183" s="1275" t="str">
        <f>IF('MH Underwriting'!P78&lt;&gt;0,'MH Underwriting'!P78,"")</f>
        <v/>
      </c>
      <c r="G183" s="1275" t="str">
        <f>IF('MH Underwriting'!T78&lt;&gt;0,'MH Underwriting'!T78,"")</f>
        <v/>
      </c>
      <c r="H183" t="str">
        <f>IF(C183="","",_xlfn.IFNA(VLOOKUP(C183,'MH Underwriting'!$E$126:$L$141,6,FALSE),""))</f>
        <v/>
      </c>
      <c r="I183" t="str">
        <f>IF(C183="","",_xlfn.IFNA(VLOOKUP(C183,'MH Underwriting'!$E$126:$L$141,6,FALSE),""))</f>
        <v/>
      </c>
      <c r="J183" t="str">
        <f>IF(C183="","",_xlfn.IFNA(VLOOKUP(C183,'MH Underwriting'!$E$126:$L$141,8,FALSE),""))</f>
        <v/>
      </c>
      <c r="L183" s="1197">
        <v>1</v>
      </c>
      <c r="M183" s="1198" t="str">
        <f>IF(AND(G183&lt;&gt;"",D183&lt;&gt;""),D183,IF(G183&lt;&gt;"","Federal Equity",""))</f>
        <v/>
      </c>
      <c r="N183" s="1198" t="str">
        <f>IF(M183&lt;&gt;"","LIHTC Equity","")</f>
        <v/>
      </c>
      <c r="O183" t="str">
        <f t="shared" ref="O183:O203" si="12">IF(AND(I183&lt;&gt;"",M183&lt;&gt;""),I183*12,"")</f>
        <v/>
      </c>
      <c r="P183" t="str">
        <f t="shared" ref="P183:P203" si="13">IF(AND(H183&lt;&gt;"",M183&lt;&gt;""),H183,"")</f>
        <v/>
      </c>
      <c r="Q183" s="1198" t="str">
        <f>IF(M183&lt;&gt;"", "Permanent","")</f>
        <v/>
      </c>
      <c r="S183" s="1276" t="str">
        <f>IF(G183="","",G183)</f>
        <v/>
      </c>
      <c r="U183" s="1197">
        <v>1</v>
      </c>
      <c r="V183" t="str">
        <f t="shared" ref="V183:V203" si="14">IF(M183="","",M183)</f>
        <v/>
      </c>
      <c r="W183" s="1198" t="str">
        <f>IF(V183="","","Permanent")</f>
        <v/>
      </c>
      <c r="X183" s="1275" t="str">
        <f t="shared" ref="X183:X203" si="15">IF(V183="","",S183)</f>
        <v/>
      </c>
      <c r="Y183" t="str">
        <f>IF(V183="","",O183)</f>
        <v/>
      </c>
      <c r="Z183" t="str">
        <f t="shared" ref="Z183:Z203" si="16">IF(V183="","",P183)</f>
        <v/>
      </c>
      <c r="AB183" s="1197">
        <v>1</v>
      </c>
      <c r="AC183" t="str">
        <f>IF(V183="","",V183)</f>
        <v/>
      </c>
      <c r="AD183" s="1275" t="str">
        <f t="shared" ref="AD183:AD203" si="17">IF(V183="","",E183)</f>
        <v/>
      </c>
      <c r="AE183" t="str">
        <f>IF(V183="","",V183)</f>
        <v/>
      </c>
      <c r="AF183" s="1276" t="str">
        <f>Table8[[#This Row],[Total]]</f>
        <v/>
      </c>
    </row>
    <row r="184" spans="1:32" x14ac:dyDescent="0.25">
      <c r="A184" t="s">
        <v>1185</v>
      </c>
      <c r="B184" t="s">
        <v>1407</v>
      </c>
      <c r="C184" t="str">
        <f>IF('MH Underwriting'!C79="","",'MH Underwriting'!C79)</f>
        <v>ME Tax Credit Capital</v>
      </c>
      <c r="D184" t="str">
        <f>IF('MH Underwriting'!F79="","",'MH Underwriting'!F79)</f>
        <v/>
      </c>
      <c r="E184" s="1275" t="str">
        <f>IF(SUM('MH Underwriting'!G79:L79)=0,"",SUM('MH Underwriting'!G79:L79))</f>
        <v/>
      </c>
      <c r="F184" s="1275" t="str">
        <f>IF('MH Underwriting'!P79&lt;&gt;0,'MH Underwriting'!P79,"")</f>
        <v/>
      </c>
      <c r="G184" s="1275" t="str">
        <f>IF('MH Underwriting'!T79&lt;&gt;0,'MH Underwriting'!T79,"")</f>
        <v/>
      </c>
      <c r="H184" t="str">
        <f>IF(C184="","",_xlfn.IFNA(VLOOKUP(C184,'MH Underwriting'!$E$126:$L$141,6,FALSE),""))</f>
        <v/>
      </c>
      <c r="I184" t="str">
        <f>IF(C184="","",_xlfn.IFNA(VLOOKUP(C184,'MH Underwriting'!$E$126:$L$141,6,FALSE),""))</f>
        <v/>
      </c>
      <c r="J184" t="str">
        <f>IF(C184="","",_xlfn.IFNA(VLOOKUP(C184,'MH Underwriting'!$E$126:$L$141,8,FALSE),""))</f>
        <v/>
      </c>
      <c r="L184" s="1197">
        <v>2</v>
      </c>
      <c r="M184" s="1198" t="str">
        <f>IF(AND(G184&lt;&gt;"",D184&lt;&gt;""),D184,IF(G184&lt;&gt;"","State Equity",""))</f>
        <v/>
      </c>
      <c r="N184" s="1198" t="str">
        <f>IF(M184&lt;&gt;"","State LIHTC Equity","")</f>
        <v/>
      </c>
      <c r="O184" t="str">
        <f t="shared" si="12"/>
        <v/>
      </c>
      <c r="P184" t="str">
        <f t="shared" si="13"/>
        <v/>
      </c>
      <c r="Q184" s="1198" t="str">
        <f>IF(M184&lt;&gt;"", "Permanent","")</f>
        <v/>
      </c>
      <c r="S184" s="1276" t="str">
        <f>IF(G184="","",G184)</f>
        <v/>
      </c>
      <c r="U184" s="1197">
        <v>2</v>
      </c>
      <c r="V184" t="str">
        <f t="shared" si="14"/>
        <v/>
      </c>
      <c r="W184" s="1198" t="str">
        <f t="shared" ref="W184:W203" si="18">IF(V184="","","Permanent")</f>
        <v/>
      </c>
      <c r="X184" s="1275" t="str">
        <f t="shared" si="15"/>
        <v/>
      </c>
      <c r="Y184" t="str">
        <f t="shared" ref="Y184:Y201" si="19">IF(V184="","",O184)</f>
        <v/>
      </c>
      <c r="Z184" t="str">
        <f t="shared" si="16"/>
        <v/>
      </c>
      <c r="AB184" s="1197">
        <v>2</v>
      </c>
      <c r="AC184" t="str">
        <f t="shared" ref="AC184:AC203" si="20">IF(V184="","",V184)</f>
        <v/>
      </c>
      <c r="AD184" s="1275" t="str">
        <f t="shared" si="17"/>
        <v/>
      </c>
      <c r="AE184" t="str">
        <f t="shared" ref="AE184:AE202" si="21">IF(V184="","",V184)</f>
        <v/>
      </c>
      <c r="AF184" s="1276" t="str">
        <f>Table8[[#This Row],[Total]]</f>
        <v/>
      </c>
    </row>
    <row r="185" spans="1:32" x14ac:dyDescent="0.25">
      <c r="A185" t="s">
        <v>1185</v>
      </c>
      <c r="B185" t="s">
        <v>1408</v>
      </c>
      <c r="C185" t="str">
        <f>IF('MH Underwriting'!C80="","",'MH Underwriting'!C80)</f>
        <v>Construction Loan</v>
      </c>
      <c r="D185" t="str">
        <f>IF('MH Underwriting'!F80="","",'MH Underwriting'!F80)</f>
        <v/>
      </c>
      <c r="E185" s="1275" t="str">
        <f>IF(B3="9Percent",IF(SUM('MH Underwriting'!G80:L80)=0,"",SUM('MH Underwriting'!G80:L80)),"")</f>
        <v/>
      </c>
      <c r="F185" s="1275" t="str">
        <f>IF('MH Underwriting'!P80&lt;&gt;0,'MH Underwriting'!P80,"")</f>
        <v/>
      </c>
      <c r="G185" s="1275" t="str">
        <f>IF('MH Underwriting'!T80&lt;&gt;0,'MH Underwriting'!T80,"")</f>
        <v/>
      </c>
      <c r="H185" t="str">
        <f>IF(C185="","",_xlfn.IFNA(VLOOKUP(C185,'MH Underwriting'!$E$126:$L$141,6,FALSE),""))</f>
        <v/>
      </c>
      <c r="I185" t="str">
        <f>IF(C185="","",_xlfn.IFNA(VLOOKUP(C185,'MH Underwriting'!$E$126:$L$141,6,FALSE),""))</f>
        <v/>
      </c>
      <c r="J185" t="str">
        <f>IF(C185="","",_xlfn.IFNA(VLOOKUP(C185,'MH Underwriting'!$E$126:$L$141,8,FALSE),""))</f>
        <v/>
      </c>
      <c r="L185" s="1290">
        <v>3</v>
      </c>
      <c r="M185" s="1209"/>
      <c r="N185" s="1209"/>
      <c r="O185" s="1200"/>
      <c r="P185" s="1200"/>
      <c r="Q185" s="1209"/>
      <c r="R185" s="1200"/>
      <c r="S185" s="1282"/>
      <c r="U185" s="1197">
        <v>3</v>
      </c>
      <c r="V185" t="str">
        <f t="shared" si="14"/>
        <v/>
      </c>
      <c r="W185" s="1198" t="str">
        <f t="shared" si="18"/>
        <v/>
      </c>
      <c r="X185" s="1275" t="str">
        <f t="shared" si="15"/>
        <v/>
      </c>
      <c r="Y185" t="str">
        <f t="shared" si="19"/>
        <v/>
      </c>
      <c r="Z185" t="str">
        <f t="shared" si="16"/>
        <v/>
      </c>
      <c r="AB185" s="1197">
        <v>3</v>
      </c>
      <c r="AC185" t="str">
        <f>IF(B3="9Percent",Table8[[#This Row],[Field]],"")</f>
        <v/>
      </c>
      <c r="AD185" s="1275" t="str">
        <f>IF(B3="9Percent",Table8[[#This Row],[CLC]],"")</f>
        <v/>
      </c>
      <c r="AE185" t="str">
        <f t="shared" si="21"/>
        <v/>
      </c>
      <c r="AF185" s="1286"/>
    </row>
    <row r="186" spans="1:32" x14ac:dyDescent="0.25">
      <c r="A186" t="s">
        <v>1185</v>
      </c>
      <c r="B186" s="1201" t="s">
        <v>1404</v>
      </c>
      <c r="C186" s="1201" t="str">
        <f>'MH Underwriting'!V86</f>
        <v>Bal. of CL</v>
      </c>
      <c r="D186" s="1201" t="str">
        <f>IF('MH Underwriting'!X86="","",'MH Underwriting'!X86)</f>
        <v/>
      </c>
      <c r="E186" s="1283" t="str">
        <f>IF('MH Underwriting'!W86="","",'MH Underwriting'!W86)</f>
        <v/>
      </c>
      <c r="F186" s="1283" t="str">
        <f>IF('MH Underwriting'!W86="","",0)</f>
        <v/>
      </c>
      <c r="G186" s="1283" t="str">
        <f>IF('MH Underwriting'!W86="","",'MH Underwriting'!W86)</f>
        <v/>
      </c>
      <c r="H186" s="1201" t="str">
        <f>IF(C186="","",_xlfn.IFNA(VLOOKUP(C186,'MH Underwriting'!$E$126:$L$141,6,FALSE),""))</f>
        <v/>
      </c>
      <c r="I186" s="1201" t="str">
        <f>IF(C186="","",_xlfn.IFNA(VLOOKUP(C186,'MH Underwriting'!$E$126:$L$141,6,FALSE),""))</f>
        <v/>
      </c>
      <c r="J186" s="1201" t="str">
        <f>IF(C186="","",_xlfn.IFNA(VLOOKUP(C186,'MH Underwriting'!$E$126:$L$141,8,FALSE),""))</f>
        <v/>
      </c>
      <c r="L186" s="1290">
        <v>4</v>
      </c>
      <c r="M186" s="1209"/>
      <c r="N186" s="1209"/>
      <c r="O186" s="1200"/>
      <c r="P186" s="1200"/>
      <c r="Q186" s="1209"/>
      <c r="R186" s="1200"/>
      <c r="S186" s="1282"/>
      <c r="U186" s="1287">
        <v>4</v>
      </c>
      <c r="V186" s="1201" t="str">
        <f t="shared" si="14"/>
        <v/>
      </c>
      <c r="W186" s="1206" t="str">
        <f t="shared" si="18"/>
        <v/>
      </c>
      <c r="X186" s="1283" t="str">
        <f t="shared" si="15"/>
        <v/>
      </c>
      <c r="Y186" s="1201" t="str">
        <f t="shared" si="19"/>
        <v/>
      </c>
      <c r="Z186" s="1201" t="str">
        <f t="shared" si="16"/>
        <v/>
      </c>
      <c r="AB186" s="1287">
        <v>4</v>
      </c>
      <c r="AC186" s="1201" t="str">
        <f>IF(B3="4Percent",Table8[[#This Row],[Field]],"")</f>
        <v/>
      </c>
      <c r="AD186" s="1283" t="str">
        <f>IF(B3="4Percent",Table8[[#This Row],[CLC]],"")</f>
        <v/>
      </c>
      <c r="AE186" s="1201" t="str">
        <f t="shared" si="21"/>
        <v/>
      </c>
      <c r="AF186" s="1279"/>
    </row>
    <row r="187" spans="1:32" x14ac:dyDescent="0.25">
      <c r="A187" t="s">
        <v>1185</v>
      </c>
      <c r="B187" s="1201" t="s">
        <v>1405</v>
      </c>
      <c r="C187" s="1201" t="str">
        <f>'MH Underwriting'!V90</f>
        <v>Actual TE Bonds</v>
      </c>
      <c r="D187" s="1201" t="str">
        <f>IF('MH Underwriting'!X90="","",'MH Underwriting'!X90)</f>
        <v/>
      </c>
      <c r="E187" s="1283" t="str">
        <f>IF('MH Underwriting'!W90="","",'MH Underwriting'!W90)</f>
        <v/>
      </c>
      <c r="F187" s="1283" t="str">
        <f>IF('MH Underwriting'!W90="","",0)</f>
        <v/>
      </c>
      <c r="G187" s="1283" t="str">
        <f>IF('MH Underwriting'!W90="","",'MH Underwriting'!W90)</f>
        <v/>
      </c>
      <c r="H187" s="1201" t="str">
        <f>IF(C187="","",_xlfn.IFNA(VLOOKUP(C187,'MH Underwriting'!$E$126:$L$141,6,FALSE),""))</f>
        <v/>
      </c>
      <c r="I187" s="1201" t="str">
        <f>IF(C187="","",_xlfn.IFNA(VLOOKUP(C187,'MH Underwriting'!$E$126:$L$141,6,FALSE),""))</f>
        <v/>
      </c>
      <c r="J187" s="1201" t="str">
        <f>IF(C187="","",_xlfn.IFNA(VLOOKUP(C187,'MH Underwriting'!$E$126:$L$141,8,FALSE),""))</f>
        <v/>
      </c>
      <c r="L187" s="1290">
        <v>5</v>
      </c>
      <c r="M187" s="1209"/>
      <c r="N187" s="1209"/>
      <c r="O187" s="1200"/>
      <c r="P187" s="1200"/>
      <c r="Q187" s="1209"/>
      <c r="R187" s="1200"/>
      <c r="S187" s="1282"/>
      <c r="U187" s="1287">
        <v>5</v>
      </c>
      <c r="V187" s="1201" t="str">
        <f t="shared" si="14"/>
        <v/>
      </c>
      <c r="W187" s="1206" t="str">
        <f t="shared" si="18"/>
        <v/>
      </c>
      <c r="X187" s="1283" t="str">
        <f t="shared" si="15"/>
        <v/>
      </c>
      <c r="Y187" s="1201" t="str">
        <f t="shared" si="19"/>
        <v/>
      </c>
      <c r="Z187" s="1201" t="str">
        <f t="shared" si="16"/>
        <v/>
      </c>
      <c r="AB187" s="1287">
        <v>5</v>
      </c>
      <c r="AC187" s="1201" t="str">
        <f>IF(B3="4Percent",Table8[[#This Row],[Field]],"")</f>
        <v/>
      </c>
      <c r="AD187" s="1283" t="str">
        <f>IF(B3="4Percent",Table8[[#This Row],[CLC]],"")</f>
        <v/>
      </c>
      <c r="AE187" s="1201" t="str">
        <f t="shared" si="21"/>
        <v/>
      </c>
      <c r="AF187" s="1279"/>
    </row>
    <row r="188" spans="1:32" x14ac:dyDescent="0.25">
      <c r="A188" t="s">
        <v>1185</v>
      </c>
      <c r="B188" s="1203" t="s">
        <v>1410</v>
      </c>
      <c r="C188" s="1203" t="str">
        <f>IF('MH Underwriting'!C81="","",'MH Underwriting'!C81)</f>
        <v>GP Bridge Loan</v>
      </c>
      <c r="D188" s="1203" t="str">
        <f>IF('MH Underwriting'!F81="","",'MH Underwriting'!F81)</f>
        <v/>
      </c>
      <c r="E188" s="1284" t="str">
        <f>IF(SUM('MH Underwriting'!G81:L81)&lt;&gt;0,SUM('MH Underwriting'!G81:L81),"")</f>
        <v/>
      </c>
      <c r="F188" s="1284" t="str">
        <f>IF('MH Underwriting'!P81&lt;&gt;0,'MH Underwriting'!P81,"")</f>
        <v/>
      </c>
      <c r="G188" s="1284" t="str">
        <f>IF('MH Underwriting'!T81&lt;&gt;0,'MH Underwriting'!T81,"")</f>
        <v/>
      </c>
      <c r="H188" s="1203" t="str">
        <f>IF(C188="","",_xlfn.IFNA(VLOOKUP(C188,'MH Underwriting'!$E$126:$L$141,6,FALSE),""))</f>
        <v/>
      </c>
      <c r="I188" s="1203" t="str">
        <f>IF(C188="","",_xlfn.IFNA(VLOOKUP(C188,'MH Underwriting'!$E$126:$L$141,6,FALSE),""))</f>
        <v/>
      </c>
      <c r="J188" s="1203" t="str">
        <f>IF(C188="","",_xlfn.IFNA(VLOOKUP(C188,'MH Underwriting'!$E$126:$L$141,8,FALSE),""))</f>
        <v/>
      </c>
      <c r="L188" s="1288">
        <v>6</v>
      </c>
      <c r="M188" s="1207" t="str">
        <f>IF(AND(G188&lt;&gt;"",D188&lt;&gt;""),D188,IF(G188&lt;&gt;"",IF(E189&lt;&gt;"","External - Construction","External - Permanent"),""))</f>
        <v/>
      </c>
      <c r="N188" s="1207" t="str">
        <f>IF(M188&lt;&gt;"","Third Party Loan","")</f>
        <v/>
      </c>
      <c r="O188" s="1203" t="str">
        <f t="shared" si="12"/>
        <v/>
      </c>
      <c r="P188" s="1203" t="str">
        <f t="shared" si="13"/>
        <v/>
      </c>
      <c r="Q188" s="1207" t="str">
        <f t="shared" ref="Q188:Q203" si="22">IF(M188&lt;&gt;"", "Permanent","")</f>
        <v/>
      </c>
      <c r="R188" s="1203"/>
      <c r="S188" s="1280" t="str">
        <f t="shared" ref="S188:S203" si="23">IF(AND(G188&lt;&gt;"",M188&lt;&gt;""),G188,"")</f>
        <v/>
      </c>
      <c r="U188" s="1288">
        <v>6</v>
      </c>
      <c r="V188" s="1203" t="str">
        <f t="shared" si="14"/>
        <v/>
      </c>
      <c r="W188" s="1207" t="str">
        <f t="shared" si="18"/>
        <v/>
      </c>
      <c r="X188" s="1284" t="str">
        <f t="shared" si="15"/>
        <v/>
      </c>
      <c r="Y188" s="1203" t="str">
        <f t="shared" si="19"/>
        <v/>
      </c>
      <c r="Z188" s="1203" t="str">
        <f t="shared" si="16"/>
        <v/>
      </c>
      <c r="AB188" s="1288">
        <v>6</v>
      </c>
      <c r="AC188" s="1203" t="str">
        <f t="shared" si="20"/>
        <v/>
      </c>
      <c r="AD188" s="1284" t="str">
        <f t="shared" si="17"/>
        <v/>
      </c>
      <c r="AE188" s="1203" t="str">
        <f t="shared" si="21"/>
        <v/>
      </c>
      <c r="AF188" s="1280" t="str">
        <f>Table8[[#This Row],[Total]]</f>
        <v/>
      </c>
    </row>
    <row r="189" spans="1:32" x14ac:dyDescent="0.25">
      <c r="A189" t="s">
        <v>1185</v>
      </c>
      <c r="B189" s="1202" t="s">
        <v>1409</v>
      </c>
      <c r="C189" s="1202" t="str">
        <f>IF('MH Underwriting'!D83="","",'MH Underwriting'!D83)</f>
        <v>0% Deferred Loan     -     FedHOME</v>
      </c>
      <c r="D189" s="1202" t="str">
        <f>IF('MH Underwriting'!F83="","",'MH Underwriting'!F83)</f>
        <v/>
      </c>
      <c r="E189" s="1285" t="str">
        <f>IF(SUM('MH Underwriting'!G83:L83)&lt;&gt;0,SUM('MH Underwriting'!G83:L83),"")</f>
        <v/>
      </c>
      <c r="F189" s="1285" t="str">
        <f>IF('MH Underwriting'!P83&lt;&gt;0,'MH Underwriting'!P83,"")</f>
        <v/>
      </c>
      <c r="G189" s="1285" t="str">
        <f>IF('MH Underwriting'!T83&lt;&gt;0,'MH Underwriting'!T83,"")</f>
        <v/>
      </c>
      <c r="H189" s="1202">
        <f>IF(C189="","",_xlfn.IFNA(VLOOKUP(C189,'MH Underwriting'!$E$126:$L$141,6,FALSE),""))</f>
        <v>0</v>
      </c>
      <c r="I189" s="1202">
        <f>Sources!J32</f>
        <v>30</v>
      </c>
      <c r="J189" s="1202" t="str">
        <f>IF(C189="","",_xlfn.IFNA(VLOOKUP(C189,'MH Underwriting'!$E$126:$L$141,8,FALSE),""))</f>
        <v>Second</v>
      </c>
      <c r="L189" s="1289">
        <v>7</v>
      </c>
      <c r="M189" s="1208" t="str">
        <f>IF(AND(G189&lt;&gt;"",D189&lt;&gt;""),D189,IF(G189&lt;&gt;"","TBD - Subsidy",""))</f>
        <v/>
      </c>
      <c r="N189" s="1208" t="str">
        <f>IF(M189&lt;&gt;"","Subsidy Loan","")</f>
        <v/>
      </c>
      <c r="O189" s="1202" t="str">
        <f t="shared" si="12"/>
        <v/>
      </c>
      <c r="P189" s="1202" t="str">
        <f t="shared" si="13"/>
        <v/>
      </c>
      <c r="Q189" s="1208" t="str">
        <f>IF(M189&lt;&gt;"", "Permanent","")</f>
        <v/>
      </c>
      <c r="R189" s="1202"/>
      <c r="S189" s="1281" t="str">
        <f t="shared" si="23"/>
        <v/>
      </c>
      <c r="U189" s="1289">
        <v>7</v>
      </c>
      <c r="V189" s="1202" t="str">
        <f t="shared" si="14"/>
        <v/>
      </c>
      <c r="W189" s="1208" t="str">
        <f>IF(V189="","","Permanent")</f>
        <v/>
      </c>
      <c r="X189" s="1285" t="str">
        <f t="shared" si="15"/>
        <v/>
      </c>
      <c r="Y189" s="1202" t="str">
        <f t="shared" si="19"/>
        <v/>
      </c>
      <c r="Z189" s="1202" t="str">
        <f t="shared" si="16"/>
        <v/>
      </c>
      <c r="AB189" s="1289">
        <v>7</v>
      </c>
      <c r="AC189" s="1202" t="str">
        <f t="shared" si="20"/>
        <v/>
      </c>
      <c r="AD189" s="1285" t="str">
        <f t="shared" si="17"/>
        <v/>
      </c>
      <c r="AE189" s="1202" t="str">
        <f t="shared" si="21"/>
        <v/>
      </c>
      <c r="AF189" s="1281" t="str">
        <f>Table8[[#This Row],[Total]]</f>
        <v/>
      </c>
    </row>
    <row r="190" spans="1:32" x14ac:dyDescent="0.25">
      <c r="A190" t="s">
        <v>1185</v>
      </c>
      <c r="B190" s="1202" t="s">
        <v>1411</v>
      </c>
      <c r="C190" s="1202" t="str">
        <f>IF('MH Underwriting'!D84="","",'MH Underwriting'!D84)</f>
        <v>0% Deferred Loan 2</v>
      </c>
      <c r="D190" s="1202" t="str">
        <f>IF('MH Underwriting'!F84="","",'MH Underwriting'!F84)</f>
        <v/>
      </c>
      <c r="E190" s="1285" t="str">
        <f>IF(SUM('MH Underwriting'!G84:L84)&lt;&gt;0,SUM('MH Underwriting'!G84:L84),"")</f>
        <v/>
      </c>
      <c r="F190" s="1285" t="str">
        <f>IF('MH Underwriting'!P84&lt;&gt;0,'MH Underwriting'!P84,"")</f>
        <v/>
      </c>
      <c r="G190" s="1285" t="str">
        <f>IF('MH Underwriting'!T84&lt;&gt;0,'MH Underwriting'!T84,"")</f>
        <v/>
      </c>
      <c r="H190" s="1202">
        <f>IF(C190="","",_xlfn.IFNA(VLOOKUP(C190,'MH Underwriting'!$E$126:$L$141,6,FALSE),""))</f>
        <v>0</v>
      </c>
      <c r="I190" s="1202">
        <f>Sources!J32</f>
        <v>30</v>
      </c>
      <c r="J190" s="1202" t="str">
        <f>IF(C190="","",_xlfn.IFNA(VLOOKUP(C190,'MH Underwriting'!$E$126:$L$141,8,FALSE),""))</f>
        <v>Second</v>
      </c>
      <c r="L190" s="1289">
        <v>8</v>
      </c>
      <c r="M190" s="1208" t="str">
        <f>IF(AND(G190&lt;&gt;"",D190&lt;&gt;""),D190,IF(G190&lt;&gt;"","TBD - Subsidy",""))</f>
        <v/>
      </c>
      <c r="N190" s="1208" t="str">
        <f>IF(M190&lt;&gt;"","Subsidy Loan","")</f>
        <v/>
      </c>
      <c r="O190" s="1202" t="str">
        <f t="shared" si="12"/>
        <v/>
      </c>
      <c r="P190" s="1202" t="str">
        <f t="shared" si="13"/>
        <v/>
      </c>
      <c r="Q190" s="1208" t="str">
        <f>IF(M190&lt;&gt;"", "Permanent","")</f>
        <v/>
      </c>
      <c r="R190" s="1202"/>
      <c r="S190" s="1281" t="str">
        <f t="shared" si="23"/>
        <v/>
      </c>
      <c r="U190" s="1289">
        <v>8</v>
      </c>
      <c r="V190" s="1202" t="str">
        <f t="shared" si="14"/>
        <v/>
      </c>
      <c r="W190" s="1208" t="str">
        <f>IF(V190="","","Permanent")</f>
        <v/>
      </c>
      <c r="X190" s="1285" t="str">
        <f t="shared" si="15"/>
        <v/>
      </c>
      <c r="Y190" s="1202" t="str">
        <f t="shared" si="19"/>
        <v/>
      </c>
      <c r="Z190" s="1202" t="str">
        <f t="shared" si="16"/>
        <v/>
      </c>
      <c r="AB190" s="1289">
        <v>8</v>
      </c>
      <c r="AC190" s="1202" t="str">
        <f t="shared" si="20"/>
        <v/>
      </c>
      <c r="AD190" s="1285" t="str">
        <f t="shared" si="17"/>
        <v/>
      </c>
      <c r="AE190" s="1202" t="str">
        <f t="shared" si="21"/>
        <v/>
      </c>
      <c r="AF190" s="1281" t="str">
        <f>Table8[[#This Row],[Total]]</f>
        <v/>
      </c>
    </row>
    <row r="191" spans="1:32" x14ac:dyDescent="0.25">
      <c r="A191" t="s">
        <v>1185</v>
      </c>
      <c r="B191" s="1202" t="s">
        <v>1412</v>
      </c>
      <c r="C191" s="1202" t="str">
        <f>IF('MH Underwriting'!D85="","",'MH Underwriting'!D85)</f>
        <v>0% Deferred Loan 3</v>
      </c>
      <c r="D191" s="1202" t="str">
        <f>IF('MH Underwriting'!F85="","",'MH Underwriting'!F85)</f>
        <v/>
      </c>
      <c r="E191" s="1285" t="str">
        <f>IF(SUM('MH Underwriting'!G85:L85)&lt;&gt;0,SUM('MH Underwriting'!G85:L85),"")</f>
        <v/>
      </c>
      <c r="F191" s="1285" t="str">
        <f>IF('MH Underwriting'!P85&lt;&gt;0,'MH Underwriting'!P85,"")</f>
        <v/>
      </c>
      <c r="G191" s="1285" t="str">
        <f>IF('MH Underwriting'!T85&lt;&gt;0,'MH Underwriting'!T85,"")</f>
        <v/>
      </c>
      <c r="H191" s="1202">
        <f>IF(C191="","",_xlfn.IFNA(VLOOKUP(C191,'MH Underwriting'!$E$126:$L$141,6,FALSE),""))</f>
        <v>0</v>
      </c>
      <c r="I191" s="1202">
        <f>Sources!J32</f>
        <v>30</v>
      </c>
      <c r="J191" s="1202" t="str">
        <f>IF(C191="","",_xlfn.IFNA(VLOOKUP(C191,'MH Underwriting'!$E$126:$L$141,8,FALSE),""))</f>
        <v>Second</v>
      </c>
      <c r="L191" s="1289">
        <v>9</v>
      </c>
      <c r="M191" s="1208" t="str">
        <f>IF(AND(G191&lt;&gt;"",D191&lt;&gt;""),D191,IF(G191&lt;&gt;"","TBD - Subsidy",""))</f>
        <v/>
      </c>
      <c r="N191" s="1208" t="str">
        <f>IF(M191&lt;&gt;"","Subsidy Loan","")</f>
        <v/>
      </c>
      <c r="O191" s="1202" t="str">
        <f t="shared" si="12"/>
        <v/>
      </c>
      <c r="P191" s="1202" t="str">
        <f t="shared" si="13"/>
        <v/>
      </c>
      <c r="Q191" s="1208" t="str">
        <f>IF(M191&lt;&gt;"", "Permanent","")</f>
        <v/>
      </c>
      <c r="R191" s="1202"/>
      <c r="S191" s="1281" t="str">
        <f t="shared" si="23"/>
        <v/>
      </c>
      <c r="U191" s="1289">
        <v>9</v>
      </c>
      <c r="V191" s="1202" t="str">
        <f t="shared" si="14"/>
        <v/>
      </c>
      <c r="W191" s="1208" t="str">
        <f>IF(V191="","","Permanent")</f>
        <v/>
      </c>
      <c r="X191" s="1285" t="str">
        <f t="shared" si="15"/>
        <v/>
      </c>
      <c r="Y191" s="1202" t="str">
        <f t="shared" si="19"/>
        <v/>
      </c>
      <c r="Z191" s="1202" t="str">
        <f t="shared" si="16"/>
        <v/>
      </c>
      <c r="AB191" s="1289">
        <v>9</v>
      </c>
      <c r="AC191" s="1202" t="str">
        <f t="shared" si="20"/>
        <v/>
      </c>
      <c r="AD191" s="1285" t="str">
        <f t="shared" si="17"/>
        <v/>
      </c>
      <c r="AE191" s="1202" t="str">
        <f t="shared" si="21"/>
        <v/>
      </c>
      <c r="AF191" s="1281" t="str">
        <f>Table8[[#This Row],[Total]]</f>
        <v/>
      </c>
    </row>
    <row r="192" spans="1:32" x14ac:dyDescent="0.25">
      <c r="A192" t="s">
        <v>1185</v>
      </c>
      <c r="B192" s="1294" t="s">
        <v>1413</v>
      </c>
      <c r="C192" s="1294" t="str">
        <f>IF('MH Underwriting'!D86="","",'MH Underwriting'!D86)</f>
        <v xml:space="preserve">MH Interest Bearing Loan </v>
      </c>
      <c r="D192" s="1294" t="str">
        <f>IF('MH Underwriting'!F86="","",'MH Underwriting'!F86)</f>
        <v/>
      </c>
      <c r="E192" s="1295" t="str">
        <f>IF(SUM('MH Underwriting'!G86:L86)&lt;&gt;0,SUM('MH Underwriting'!G86:L86),"")</f>
        <v/>
      </c>
      <c r="F192" s="1295" t="str">
        <f>IF('MH Underwriting'!P86&lt;&gt;0,'MH Underwriting'!P86,"")</f>
        <v/>
      </c>
      <c r="G192" s="1295" t="str">
        <f>IF('MH Underwriting'!T86&lt;&gt;0,'MH Underwriting'!T86,"")</f>
        <v/>
      </c>
      <c r="H192" s="1294">
        <f>IF(C192="","",_xlfn.IFNA(VLOOKUP(C192,'MH Underwriting'!$E$126:$L$141,6,FALSE),""))</f>
        <v>0.06</v>
      </c>
      <c r="I192" s="1294">
        <f>Sources!J39</f>
        <v>30</v>
      </c>
      <c r="J192" s="1294" t="str">
        <f>IF(C192="","",_xlfn.IFNA(VLOOKUP(C192,'MH Underwriting'!$E$126:$L$141,8,FALSE),""))</f>
        <v>First</v>
      </c>
      <c r="L192" s="1296">
        <v>10</v>
      </c>
      <c r="M192" s="1297" t="str">
        <f>IF(G192&lt;&gt;"",IF(D192&lt;&gt;"",D192,IF($B$3&lt;&gt;"4Percent","MPP Taxable","MPP Recoveries of Principal")),"")</f>
        <v/>
      </c>
      <c r="N192" s="1297" t="str">
        <f>IF(M192&lt;&gt;"","Direct Loan","")</f>
        <v/>
      </c>
      <c r="O192" s="1294" t="str">
        <f t="shared" si="12"/>
        <v/>
      </c>
      <c r="P192" s="1294" t="str">
        <f t="shared" si="13"/>
        <v/>
      </c>
      <c r="Q192" s="1297" t="str">
        <f t="shared" si="22"/>
        <v/>
      </c>
      <c r="R192" s="1294"/>
      <c r="S192" s="1298" t="str">
        <f t="shared" si="23"/>
        <v/>
      </c>
      <c r="U192" s="1296">
        <v>10</v>
      </c>
      <c r="V192" s="1294" t="str">
        <f t="shared" si="14"/>
        <v/>
      </c>
      <c r="W192" s="1297" t="str">
        <f t="shared" si="18"/>
        <v/>
      </c>
      <c r="X192" s="1295" t="str">
        <f t="shared" si="15"/>
        <v/>
      </c>
      <c r="Y192" s="1294" t="str">
        <f t="shared" si="19"/>
        <v/>
      </c>
      <c r="Z192" s="1294" t="str">
        <f t="shared" si="16"/>
        <v/>
      </c>
      <c r="AB192" s="1296">
        <v>10</v>
      </c>
      <c r="AC192" s="1294" t="str">
        <f t="shared" si="20"/>
        <v/>
      </c>
      <c r="AD192" s="1295" t="str">
        <f t="shared" si="17"/>
        <v/>
      </c>
      <c r="AE192" s="1294" t="str">
        <f t="shared" si="21"/>
        <v/>
      </c>
      <c r="AF192" s="1298" t="str">
        <f>Table8[[#This Row],[Total]]</f>
        <v/>
      </c>
    </row>
    <row r="193" spans="1:32" x14ac:dyDescent="0.25">
      <c r="A193" t="s">
        <v>1185</v>
      </c>
      <c r="B193" s="1294" t="s">
        <v>1414</v>
      </c>
      <c r="C193" s="1294" t="str">
        <f>IF('MH Underwriting'!D87="","",'MH Underwriting'!D87)</f>
        <v>MH Interest Bearing Loan #2</v>
      </c>
      <c r="D193" s="1294" t="str">
        <f>IF('MH Underwriting'!F87="","",'MH Underwriting'!F87)</f>
        <v/>
      </c>
      <c r="E193" s="1295" t="str">
        <f>IF(SUM('MH Underwriting'!G87:L87)&lt;&gt;0,SUM('MH Underwriting'!G87:L87),"")</f>
        <v/>
      </c>
      <c r="F193" s="1295" t="str">
        <f>IF('MH Underwriting'!P87&lt;&gt;0,'MH Underwriting'!P87,"")</f>
        <v/>
      </c>
      <c r="G193" s="1295" t="str">
        <f>IF('MH Underwriting'!T87&lt;&gt;0,'MH Underwriting'!T87,"")</f>
        <v/>
      </c>
      <c r="H193" s="1294">
        <f>IF(C193="","",_xlfn.IFNA(VLOOKUP(C193,'MH Underwriting'!$E$126:$L$141,6,FALSE),""))</f>
        <v>0.06</v>
      </c>
      <c r="I193" s="1294">
        <f>Sources!J39</f>
        <v>30</v>
      </c>
      <c r="J193" s="1294" t="str">
        <f>IF(C193="","",_xlfn.IFNA(VLOOKUP(C193,'MH Underwriting'!$E$126:$L$141,8,FALSE),""))</f>
        <v>First</v>
      </c>
      <c r="L193" s="1296">
        <v>11</v>
      </c>
      <c r="M193" s="1297" t="str">
        <f>IF(AND(G193&lt;&gt;"",D193&lt;&gt;""),D193,IF(AND(G193&lt;&gt;"",D193="",D192&lt;&gt;""),IF($B$3&lt;&gt;"4Percent","MPP Taxable","MPP Recoveries of Principal"),""))</f>
        <v/>
      </c>
      <c r="N193" s="1297" t="str">
        <f>IF(M193&lt;&gt;"","Direct Loan","")</f>
        <v/>
      </c>
      <c r="O193" s="1294" t="str">
        <f t="shared" si="12"/>
        <v/>
      </c>
      <c r="P193" s="1294" t="str">
        <f t="shared" si="13"/>
        <v/>
      </c>
      <c r="Q193" s="1297" t="str">
        <f t="shared" si="22"/>
        <v/>
      </c>
      <c r="R193" s="1294"/>
      <c r="S193" s="1298" t="str">
        <f t="shared" si="23"/>
        <v/>
      </c>
      <c r="U193" s="1296">
        <v>11</v>
      </c>
      <c r="V193" s="1294" t="str">
        <f t="shared" si="14"/>
        <v/>
      </c>
      <c r="W193" s="1297" t="str">
        <f t="shared" si="18"/>
        <v/>
      </c>
      <c r="X193" s="1295" t="str">
        <f t="shared" si="15"/>
        <v/>
      </c>
      <c r="Y193" s="1294" t="str">
        <f t="shared" si="19"/>
        <v/>
      </c>
      <c r="Z193" s="1294" t="str">
        <f t="shared" si="16"/>
        <v/>
      </c>
      <c r="AB193" s="1296">
        <v>11</v>
      </c>
      <c r="AC193" s="1294" t="str">
        <f t="shared" si="20"/>
        <v/>
      </c>
      <c r="AD193" s="1295" t="str">
        <f t="shared" si="17"/>
        <v/>
      </c>
      <c r="AE193" s="1294" t="str">
        <f t="shared" si="21"/>
        <v/>
      </c>
      <c r="AF193" s="1298" t="str">
        <f>Table8[[#This Row],[Total]]</f>
        <v/>
      </c>
    </row>
    <row r="194" spans="1:32" x14ac:dyDescent="0.25">
      <c r="A194" t="s">
        <v>1185</v>
      </c>
      <c r="B194" s="1294" t="s">
        <v>1415</v>
      </c>
      <c r="C194" s="1294" t="str">
        <f>IF('MH Underwriting'!D88="","",'MH Underwriting'!D88)</f>
        <v>MH Interest Bearing Loan #3</v>
      </c>
      <c r="D194" s="1294" t="str">
        <f>IF('MH Underwriting'!F88="","",'MH Underwriting'!F88)</f>
        <v/>
      </c>
      <c r="E194" s="1295" t="str">
        <f>IF(SUM('MH Underwriting'!G88:L88)&lt;&gt;0,SUM('MH Underwriting'!G88:L88),"")</f>
        <v/>
      </c>
      <c r="F194" s="1295" t="str">
        <f>IF('MH Underwriting'!P88&lt;&gt;0,'MH Underwriting'!P88,"")</f>
        <v/>
      </c>
      <c r="G194" s="1295" t="str">
        <f>IF('MH Underwriting'!T88&lt;&gt;0,'MH Underwriting'!T88,"")</f>
        <v/>
      </c>
      <c r="H194" s="1294">
        <f>IF(C194="","",_xlfn.IFNA(VLOOKUP(C194,'MH Underwriting'!$E$126:$L$141,6,FALSE),""))</f>
        <v>0.06</v>
      </c>
      <c r="I194" s="1294">
        <f>Sources!J39</f>
        <v>30</v>
      </c>
      <c r="J194" s="1294" t="str">
        <f>IF(C194="","",_xlfn.IFNA(VLOOKUP(C194,'MH Underwriting'!$E$126:$L$141,8,FALSE),""))</f>
        <v>First</v>
      </c>
      <c r="L194" s="1296">
        <v>12</v>
      </c>
      <c r="M194" s="1297" t="str">
        <f>IF(AND(G194&lt;&gt;"",D194&lt;&gt;""),D194,IF(AND(G194&lt;&gt;"",D194="",D192&lt;&gt;"",D193&lt;&gt;""),IF('Tax Credit Calculations'!D38="Yes","State Equity", IF($B$3&lt;&gt;"4Percent","MPP Taxable","MPP Recoveries of Principal")),""))</f>
        <v/>
      </c>
      <c r="N194" s="1297" t="str">
        <f>IF(M194&lt;&gt;"","Direct Loan","")</f>
        <v/>
      </c>
      <c r="O194" s="1294" t="str">
        <f t="shared" si="12"/>
        <v/>
      </c>
      <c r="P194" s="1294" t="str">
        <f t="shared" si="13"/>
        <v/>
      </c>
      <c r="Q194" s="1297" t="str">
        <f t="shared" si="22"/>
        <v/>
      </c>
      <c r="R194" s="1294"/>
      <c r="S194" s="1298" t="str">
        <f t="shared" si="23"/>
        <v/>
      </c>
      <c r="U194" s="1296">
        <v>12</v>
      </c>
      <c r="V194" s="1294" t="str">
        <f t="shared" si="14"/>
        <v/>
      </c>
      <c r="W194" s="1297" t="str">
        <f t="shared" si="18"/>
        <v/>
      </c>
      <c r="X194" s="1295" t="str">
        <f t="shared" si="15"/>
        <v/>
      </c>
      <c r="Y194" s="1294" t="str">
        <f t="shared" si="19"/>
        <v/>
      </c>
      <c r="Z194" s="1294" t="str">
        <f t="shared" si="16"/>
        <v/>
      </c>
      <c r="AB194" s="1296">
        <v>12</v>
      </c>
      <c r="AC194" s="1294" t="str">
        <f t="shared" si="20"/>
        <v/>
      </c>
      <c r="AD194" s="1295" t="str">
        <f t="shared" si="17"/>
        <v/>
      </c>
      <c r="AE194" s="1294" t="str">
        <f t="shared" si="21"/>
        <v/>
      </c>
      <c r="AF194" s="1298" t="str">
        <f>Table8[[#This Row],[Total]]</f>
        <v/>
      </c>
    </row>
    <row r="195" spans="1:32" x14ac:dyDescent="0.25">
      <c r="A195" t="s">
        <v>1185</v>
      </c>
      <c r="B195" s="1203" t="s">
        <v>1416</v>
      </c>
      <c r="C195" s="1203" t="str">
        <f>IF('MH Underwriting'!D90="","",'MH Underwriting'!D90)</f>
        <v>AHP Subsidized Advance</v>
      </c>
      <c r="D195" s="1203" t="str">
        <f>IF('MH Underwriting'!F90="","",'MH Underwriting'!F90)</f>
        <v/>
      </c>
      <c r="E195" s="1284" t="str">
        <f>IF(SUM('MH Underwriting'!G90:L90)&lt;&gt;0,SUM('MH Underwriting'!G90:L90),"")</f>
        <v/>
      </c>
      <c r="F195" s="1284" t="str">
        <f>IF('MH Underwriting'!P90&lt;&gt;0,'MH Underwriting'!P90,"")</f>
        <v/>
      </c>
      <c r="G195" s="1284" t="str">
        <f>IF('MH Underwriting'!T90&lt;&gt;0,'MH Underwriting'!T90,"")</f>
        <v/>
      </c>
      <c r="H195" s="1203">
        <f>IF(C195="","",_xlfn.IFNA(VLOOKUP(C195,'MH Underwriting'!$E$126:$L$141,6,FALSE),""))</f>
        <v>7.0000000000000007E-2</v>
      </c>
      <c r="I195" s="1203">
        <f>IF(C195="","",_xlfn.IFNA(VLOOKUP(C195,Sources!$B$43:$J$55,9,FALSE),""))</f>
        <v>30</v>
      </c>
      <c r="J195" s="1203" t="str">
        <f>IF(C195="","",_xlfn.IFNA(VLOOKUP(C195,'MH Underwriting'!$E$126:$L$141,8,FALSE),""))</f>
        <v>First</v>
      </c>
      <c r="L195" s="1288">
        <v>13</v>
      </c>
      <c r="M195" s="1207" t="str">
        <f t="shared" ref="M195:M203" si="24">IF(AND(G195&lt;&gt;"",D195&lt;&gt;""),D195,IF(G195&lt;&gt;"","External - Permanent",""))</f>
        <v/>
      </c>
      <c r="N195" s="1207" t="str">
        <f>IF(M195&lt;&gt;"","Third Party Loan","")</f>
        <v/>
      </c>
      <c r="O195" s="1203" t="str">
        <f t="shared" si="12"/>
        <v/>
      </c>
      <c r="P195" s="1203" t="str">
        <f t="shared" si="13"/>
        <v/>
      </c>
      <c r="Q195" s="1207" t="str">
        <f t="shared" si="22"/>
        <v/>
      </c>
      <c r="R195" s="1203"/>
      <c r="S195" s="1280" t="str">
        <f t="shared" si="23"/>
        <v/>
      </c>
      <c r="U195" s="1288">
        <v>13</v>
      </c>
      <c r="V195" s="1203" t="str">
        <f t="shared" si="14"/>
        <v/>
      </c>
      <c r="W195" s="1207" t="str">
        <f t="shared" si="18"/>
        <v/>
      </c>
      <c r="X195" s="1284" t="str">
        <f t="shared" si="15"/>
        <v/>
      </c>
      <c r="Y195" s="1203" t="str">
        <f t="shared" si="19"/>
        <v/>
      </c>
      <c r="Z195" s="1203" t="str">
        <f t="shared" si="16"/>
        <v/>
      </c>
      <c r="AB195" s="1288">
        <v>13</v>
      </c>
      <c r="AC195" s="1203" t="str">
        <f t="shared" si="20"/>
        <v/>
      </c>
      <c r="AD195" s="1284" t="str">
        <f t="shared" si="17"/>
        <v/>
      </c>
      <c r="AE195" s="1203" t="str">
        <f t="shared" si="21"/>
        <v/>
      </c>
      <c r="AF195" s="1280" t="str">
        <f>Table8[[#This Row],[Total]]</f>
        <v/>
      </c>
    </row>
    <row r="196" spans="1:32" x14ac:dyDescent="0.25">
      <c r="A196" t="s">
        <v>1185</v>
      </c>
      <c r="B196" s="1203" t="s">
        <v>1417</v>
      </c>
      <c r="C196" s="1203" t="str">
        <f>IF('MH Underwriting'!D92="","",'MH Underwriting'!D92)</f>
        <v>City FEDHOME*</v>
      </c>
      <c r="D196" s="1203" t="str">
        <f>IF('MH Underwriting'!F92="","",'MH Underwriting'!F92)</f>
        <v/>
      </c>
      <c r="E196" s="1284" t="str">
        <f>IF(SUM('MH Underwriting'!G92:L92)&lt;&gt;0,SUM('MH Underwriting'!G92:L92),"")</f>
        <v/>
      </c>
      <c r="F196" s="1284" t="str">
        <f>IF('MH Underwriting'!P92&lt;&gt;0,'MH Underwriting'!P92,"")</f>
        <v/>
      </c>
      <c r="G196" s="1284" t="str">
        <f>IF('MH Underwriting'!T92&lt;&gt;0,'MH Underwriting'!T92,"")</f>
        <v/>
      </c>
      <c r="H196" s="1203">
        <f>IF(C196="","",_xlfn.IFNA(VLOOKUP(C196,'MH Underwriting'!$E$126:$L$141,6,FALSE),""))</f>
        <v>0</v>
      </c>
      <c r="I196" s="1203">
        <f>IF(C196="","",_xlfn.IFNA(VLOOKUP(C196,Sources!$B$43:$J$55,9,FALSE),""))</f>
        <v>30</v>
      </c>
      <c r="J196" s="1203" t="str">
        <f>IF(C196="","",_xlfn.IFNA(VLOOKUP(C196,'MH Underwriting'!$E$126:$L$141,8,FALSE),""))</f>
        <v>Third</v>
      </c>
      <c r="L196" s="1288">
        <v>14</v>
      </c>
      <c r="M196" s="1207" t="str">
        <f t="shared" si="24"/>
        <v/>
      </c>
      <c r="N196" s="1207" t="str">
        <f t="shared" ref="N196:N203" si="25">IF(M196&lt;&gt;"","Third Party Loan","")</f>
        <v/>
      </c>
      <c r="O196" s="1203" t="str">
        <f t="shared" si="12"/>
        <v/>
      </c>
      <c r="P196" s="1203" t="str">
        <f t="shared" si="13"/>
        <v/>
      </c>
      <c r="Q196" s="1207" t="str">
        <f t="shared" si="22"/>
        <v/>
      </c>
      <c r="R196" s="1203"/>
      <c r="S196" s="1280" t="str">
        <f>IF(AND(G196&lt;&gt;"",M196&lt;&gt;""),G196,"")</f>
        <v/>
      </c>
      <c r="U196" s="1288">
        <v>14</v>
      </c>
      <c r="V196" s="1203" t="str">
        <f t="shared" si="14"/>
        <v/>
      </c>
      <c r="W196" s="1207" t="str">
        <f t="shared" si="18"/>
        <v/>
      </c>
      <c r="X196" s="1284" t="str">
        <f t="shared" si="15"/>
        <v/>
      </c>
      <c r="Y196" s="1203" t="str">
        <f t="shared" si="19"/>
        <v/>
      </c>
      <c r="Z196" s="1203" t="str">
        <f t="shared" si="16"/>
        <v/>
      </c>
      <c r="AB196" s="1288">
        <v>14</v>
      </c>
      <c r="AC196" s="1203" t="str">
        <f t="shared" si="20"/>
        <v/>
      </c>
      <c r="AD196" s="1284" t="str">
        <f t="shared" si="17"/>
        <v/>
      </c>
      <c r="AE196" s="1203" t="str">
        <f t="shared" si="21"/>
        <v/>
      </c>
      <c r="AF196" s="1280" t="str">
        <f>Table8[[#This Row],[Total]]</f>
        <v/>
      </c>
    </row>
    <row r="197" spans="1:32" x14ac:dyDescent="0.25">
      <c r="A197" t="s">
        <v>1185</v>
      </c>
      <c r="B197" s="1203" t="s">
        <v>1418</v>
      </c>
      <c r="C197" s="1203" t="str">
        <f>IF('MH Underwriting'!D93="","",'MH Underwriting'!D93)</f>
        <v>AHP Capital Advance*</v>
      </c>
      <c r="D197" s="1203" t="str">
        <f>IF('MH Underwriting'!F93="","",'MH Underwriting'!F93)</f>
        <v/>
      </c>
      <c r="E197" s="1284" t="str">
        <f>IF(SUM('MH Underwriting'!G93:L93)&lt;&gt;0,SUM('MH Underwriting'!G93:L93),"")</f>
        <v/>
      </c>
      <c r="F197" s="1284" t="str">
        <f>IF('MH Underwriting'!P93&lt;&gt;0,'MH Underwriting'!P93,"")</f>
        <v/>
      </c>
      <c r="G197" s="1284" t="str">
        <f>IF('MH Underwriting'!T93&lt;&gt;0,'MH Underwriting'!T93,"")</f>
        <v/>
      </c>
      <c r="H197" s="1203">
        <f>IF(C197="","",_xlfn.IFNA(VLOOKUP(C197,'MH Underwriting'!$E$126:$L$141,6,FALSE),""))</f>
        <v>0</v>
      </c>
      <c r="I197" s="1203">
        <f>IF(C197="","",_xlfn.IFNA(VLOOKUP(C197,Sources!$B$43:$J$55,9,FALSE),""))</f>
        <v>30</v>
      </c>
      <c r="J197" s="1203" t="str">
        <f>IF(C197="","",_xlfn.IFNA(VLOOKUP(C197,'MH Underwriting'!$E$126:$L$141,8,FALSE),""))</f>
        <v>Third</v>
      </c>
      <c r="L197" s="1288">
        <v>15</v>
      </c>
      <c r="M197" s="1207" t="str">
        <f t="shared" si="24"/>
        <v/>
      </c>
      <c r="N197" s="1207" t="str">
        <f t="shared" si="25"/>
        <v/>
      </c>
      <c r="O197" s="1203" t="str">
        <f t="shared" si="12"/>
        <v/>
      </c>
      <c r="P197" s="1203" t="str">
        <f t="shared" si="13"/>
        <v/>
      </c>
      <c r="Q197" s="1207" t="str">
        <f t="shared" si="22"/>
        <v/>
      </c>
      <c r="R197" s="1203"/>
      <c r="S197" s="1280" t="str">
        <f t="shared" si="23"/>
        <v/>
      </c>
      <c r="U197" s="1288">
        <v>15</v>
      </c>
      <c r="V197" s="1203" t="str">
        <f t="shared" si="14"/>
        <v/>
      </c>
      <c r="W197" s="1207" t="str">
        <f t="shared" si="18"/>
        <v/>
      </c>
      <c r="X197" s="1284" t="str">
        <f t="shared" si="15"/>
        <v/>
      </c>
      <c r="Y197" s="1203" t="str">
        <f t="shared" si="19"/>
        <v/>
      </c>
      <c r="Z197" s="1203" t="str">
        <f t="shared" si="16"/>
        <v/>
      </c>
      <c r="AB197" s="1288">
        <v>15</v>
      </c>
      <c r="AC197" s="1203" t="str">
        <f t="shared" si="20"/>
        <v/>
      </c>
      <c r="AD197" s="1284" t="str">
        <f t="shared" si="17"/>
        <v/>
      </c>
      <c r="AE197" s="1203" t="str">
        <f t="shared" si="21"/>
        <v/>
      </c>
      <c r="AF197" s="1280" t="str">
        <f>Table8[[#This Row],[Total]]</f>
        <v/>
      </c>
    </row>
    <row r="198" spans="1:32" x14ac:dyDescent="0.25">
      <c r="A198" t="s">
        <v>1185</v>
      </c>
      <c r="B198" s="1203" t="s">
        <v>1419</v>
      </c>
      <c r="C198" s="1203" t="str">
        <f>IF('MH Underwriting'!D94="","",'MH Underwriting'!D94)</f>
        <v>TIF Loan*</v>
      </c>
      <c r="D198" s="1203" t="str">
        <f>IF('MH Underwriting'!F94="","",'MH Underwriting'!F94)</f>
        <v/>
      </c>
      <c r="E198" s="1284" t="str">
        <f>IF(SUM('MH Underwriting'!G94:L94)&lt;&gt;0,SUM('MH Underwriting'!G94:L94),"")</f>
        <v/>
      </c>
      <c r="F198" s="1284" t="str">
        <f>IF('MH Underwriting'!P94&lt;&gt;0,'MH Underwriting'!P94,"")</f>
        <v/>
      </c>
      <c r="G198" s="1284" t="str">
        <f>IF('MH Underwriting'!T94&lt;&gt;0,'MH Underwriting'!T94,"")</f>
        <v/>
      </c>
      <c r="H198" s="1203">
        <f>IF(C198="","",_xlfn.IFNA(VLOOKUP(C198,'MH Underwriting'!$E$126:$L$141,6,FALSE),""))</f>
        <v>0</v>
      </c>
      <c r="I198" s="1203">
        <f>IF(C198="","",_xlfn.IFNA(VLOOKUP(C198,Sources!$B$43:$J$55,9,FALSE),""))</f>
        <v>30</v>
      </c>
      <c r="J198" s="1203" t="str">
        <f>IF(C198="","",_xlfn.IFNA(VLOOKUP(C198,'MH Underwriting'!$E$126:$L$141,8,FALSE),""))</f>
        <v>Third</v>
      </c>
      <c r="L198" s="1288">
        <v>16</v>
      </c>
      <c r="M198" s="1207" t="str">
        <f t="shared" si="24"/>
        <v/>
      </c>
      <c r="N198" s="1207" t="str">
        <f t="shared" si="25"/>
        <v/>
      </c>
      <c r="O198" s="1203" t="str">
        <f t="shared" si="12"/>
        <v/>
      </c>
      <c r="P198" s="1203" t="str">
        <f t="shared" si="13"/>
        <v/>
      </c>
      <c r="Q198" s="1207" t="str">
        <f t="shared" si="22"/>
        <v/>
      </c>
      <c r="R198" s="1203"/>
      <c r="S198" s="1280" t="str">
        <f t="shared" si="23"/>
        <v/>
      </c>
      <c r="U198" s="1288">
        <v>16</v>
      </c>
      <c r="V198" s="1203" t="str">
        <f t="shared" si="14"/>
        <v/>
      </c>
      <c r="W198" s="1207" t="str">
        <f t="shared" si="18"/>
        <v/>
      </c>
      <c r="X198" s="1284" t="str">
        <f t="shared" si="15"/>
        <v/>
      </c>
      <c r="Y198" s="1203" t="str">
        <f t="shared" si="19"/>
        <v/>
      </c>
      <c r="Z198" s="1203" t="str">
        <f t="shared" si="16"/>
        <v/>
      </c>
      <c r="AB198" s="1288">
        <v>16</v>
      </c>
      <c r="AC198" s="1203" t="str">
        <f t="shared" si="20"/>
        <v/>
      </c>
      <c r="AD198" s="1284" t="str">
        <f t="shared" si="17"/>
        <v/>
      </c>
      <c r="AE198" s="1203" t="str">
        <f t="shared" si="21"/>
        <v/>
      </c>
      <c r="AF198" s="1280" t="str">
        <f>Table8[[#This Row],[Total]]</f>
        <v/>
      </c>
    </row>
    <row r="199" spans="1:32" x14ac:dyDescent="0.25">
      <c r="A199" t="s">
        <v>1185</v>
      </c>
      <c r="B199" s="1203" t="s">
        <v>1420</v>
      </c>
      <c r="C199" s="1203" t="str">
        <f>IF('MH Underwriting'!D95="","",'MH Underwriting'!D95)</f>
        <v/>
      </c>
      <c r="D199" s="1203" t="str">
        <f>IF('MH Underwriting'!F95="","",'MH Underwriting'!F95)</f>
        <v/>
      </c>
      <c r="E199" s="1284" t="str">
        <f>IF(SUM('MH Underwriting'!G95:L95)&lt;&gt;0,SUM('MH Underwriting'!G95:L95),"")</f>
        <v/>
      </c>
      <c r="F199" s="1284" t="str">
        <f>IF('MH Underwriting'!P95&lt;&gt;0,'MH Underwriting'!P95,"")</f>
        <v/>
      </c>
      <c r="G199" s="1284" t="str">
        <f>IF('MH Underwriting'!T95&lt;&gt;0,'MH Underwriting'!T95,"")</f>
        <v/>
      </c>
      <c r="H199" s="1203" t="str">
        <f>IF(C199="","",_xlfn.IFNA(VLOOKUP(C199,'MH Underwriting'!$E$126:$L$141,6,FALSE),""))</f>
        <v/>
      </c>
      <c r="I199" s="1203" t="str">
        <f>IF(C199="","",_xlfn.IFNA(VLOOKUP(C199,Sources!$B$43:$J$55,9,FALSE),""))</f>
        <v/>
      </c>
      <c r="J199" s="1203" t="str">
        <f>IF(C199="","",_xlfn.IFNA(VLOOKUP(C199,'MH Underwriting'!$E$126:$L$141,8,FALSE),""))</f>
        <v/>
      </c>
      <c r="L199" s="1288">
        <v>17</v>
      </c>
      <c r="M199" s="1207" t="str">
        <f t="shared" si="24"/>
        <v/>
      </c>
      <c r="N199" s="1207" t="str">
        <f t="shared" si="25"/>
        <v/>
      </c>
      <c r="O199" s="1203" t="str">
        <f t="shared" si="12"/>
        <v/>
      </c>
      <c r="P199" s="1203" t="str">
        <f t="shared" si="13"/>
        <v/>
      </c>
      <c r="Q199" s="1207" t="str">
        <f t="shared" si="22"/>
        <v/>
      </c>
      <c r="R199" s="1203"/>
      <c r="S199" s="1280" t="str">
        <f t="shared" si="23"/>
        <v/>
      </c>
      <c r="U199" s="1288">
        <v>17</v>
      </c>
      <c r="V199" s="1203" t="str">
        <f t="shared" si="14"/>
        <v/>
      </c>
      <c r="W199" s="1207" t="str">
        <f t="shared" si="18"/>
        <v/>
      </c>
      <c r="X199" s="1284" t="str">
        <f t="shared" si="15"/>
        <v/>
      </c>
      <c r="Y199" s="1203" t="str">
        <f t="shared" si="19"/>
        <v/>
      </c>
      <c r="Z199" s="1203" t="str">
        <f t="shared" si="16"/>
        <v/>
      </c>
      <c r="AB199" s="1288">
        <v>17</v>
      </c>
      <c r="AC199" s="1203" t="str">
        <f t="shared" si="20"/>
        <v/>
      </c>
      <c r="AD199" s="1284" t="str">
        <f t="shared" si="17"/>
        <v/>
      </c>
      <c r="AE199" s="1203" t="str">
        <f t="shared" si="21"/>
        <v/>
      </c>
      <c r="AF199" s="1280" t="str">
        <f>Table8[[#This Row],[Total]]</f>
        <v/>
      </c>
    </row>
    <row r="200" spans="1:32" x14ac:dyDescent="0.25">
      <c r="A200" t="s">
        <v>1185</v>
      </c>
      <c r="B200" s="1203" t="s">
        <v>1421</v>
      </c>
      <c r="C200" s="1203" t="str">
        <f>IF('MH Underwriting'!D96="","",'MH Underwriting'!D96)</f>
        <v/>
      </c>
      <c r="D200" s="1203" t="str">
        <f>IF('MH Underwriting'!F96="","",'MH Underwriting'!F96)</f>
        <v/>
      </c>
      <c r="E200" s="1284" t="str">
        <f>IF(SUM('MH Underwriting'!G96:L96)&lt;&gt;0,SUM('MH Underwriting'!G96:L96),"")</f>
        <v/>
      </c>
      <c r="F200" s="1284" t="str">
        <f>IF('MH Underwriting'!P96&lt;&gt;0,'MH Underwriting'!P96,"")</f>
        <v/>
      </c>
      <c r="G200" s="1284" t="str">
        <f>IF('MH Underwriting'!T96&lt;&gt;0,'MH Underwriting'!T96,"")</f>
        <v/>
      </c>
      <c r="H200" s="1203" t="str">
        <f>IF(C200="","",_xlfn.IFNA(VLOOKUP(C200,'MH Underwriting'!$E$126:$L$141,6,FALSE),""))</f>
        <v/>
      </c>
      <c r="I200" s="1203" t="str">
        <f>IF(C200="","",_xlfn.IFNA(VLOOKUP(C200,Sources!$B$43:$J$55,9,FALSE),""))</f>
        <v/>
      </c>
      <c r="J200" s="1203" t="str">
        <f>IF(C200="","",_xlfn.IFNA(VLOOKUP(C200,'MH Underwriting'!$E$126:$L$141,8,FALSE),""))</f>
        <v/>
      </c>
      <c r="L200" s="1288">
        <v>18</v>
      </c>
      <c r="M200" s="1207" t="str">
        <f t="shared" si="24"/>
        <v/>
      </c>
      <c r="N200" s="1207" t="str">
        <f t="shared" si="25"/>
        <v/>
      </c>
      <c r="O200" s="1203" t="str">
        <f t="shared" si="12"/>
        <v/>
      </c>
      <c r="P200" s="1203" t="str">
        <f t="shared" si="13"/>
        <v/>
      </c>
      <c r="Q200" s="1207" t="str">
        <f t="shared" si="22"/>
        <v/>
      </c>
      <c r="R200" s="1203"/>
      <c r="S200" s="1280" t="str">
        <f t="shared" si="23"/>
        <v/>
      </c>
      <c r="U200" s="1288">
        <v>18</v>
      </c>
      <c r="V200" s="1203" t="str">
        <f t="shared" si="14"/>
        <v/>
      </c>
      <c r="W200" s="1207" t="str">
        <f t="shared" si="18"/>
        <v/>
      </c>
      <c r="X200" s="1284" t="str">
        <f t="shared" si="15"/>
        <v/>
      </c>
      <c r="Y200" s="1203" t="str">
        <f t="shared" si="19"/>
        <v/>
      </c>
      <c r="Z200" s="1203" t="str">
        <f>IF(V200="","",P200)</f>
        <v/>
      </c>
      <c r="AB200" s="1288">
        <v>18</v>
      </c>
      <c r="AC200" s="1203" t="str">
        <f t="shared" si="20"/>
        <v/>
      </c>
      <c r="AD200" s="1284" t="str">
        <f t="shared" si="17"/>
        <v/>
      </c>
      <c r="AE200" s="1203" t="str">
        <f t="shared" si="21"/>
        <v/>
      </c>
      <c r="AF200" s="1280" t="str">
        <f>Table8[[#This Row],[Total]]</f>
        <v/>
      </c>
    </row>
    <row r="201" spans="1:32" x14ac:dyDescent="0.25">
      <c r="A201" t="s">
        <v>1185</v>
      </c>
      <c r="B201" s="1203" t="s">
        <v>1422</v>
      </c>
      <c r="C201" s="1203" t="str">
        <f>IF('MH Underwriting'!D97="","",'MH Underwriting'!D97)</f>
        <v>Grant*</v>
      </c>
      <c r="D201" s="1203" t="str">
        <f>IF('MH Underwriting'!F97="","",'MH Underwriting'!F97)</f>
        <v/>
      </c>
      <c r="E201" s="1284" t="str">
        <f>IF(SUM('MH Underwriting'!G97:L97)&lt;&gt;0,SUM('MH Underwriting'!G97:L97),"")</f>
        <v/>
      </c>
      <c r="F201" s="1284" t="str">
        <f>IF('MH Underwriting'!P97&lt;&gt;0,'MH Underwriting'!P97,"")</f>
        <v/>
      </c>
      <c r="G201" s="1284" t="str">
        <f>IF('MH Underwriting'!T97&lt;&gt;0,'MH Underwriting'!T97,"")</f>
        <v/>
      </c>
      <c r="H201" s="1203">
        <f>IF(C201="","",_xlfn.IFNA(VLOOKUP(C201,'MH Underwriting'!$E$126:$L$141,6,FALSE),""))</f>
        <v>0</v>
      </c>
      <c r="I201" s="1203">
        <f>IF(C201="","",_xlfn.IFNA(VLOOKUP(C201,Sources!$B$43:$J$55,9,FALSE),""))</f>
        <v>0</v>
      </c>
      <c r="J201" s="1203" t="str">
        <f>IF(C201="","",_xlfn.IFNA(VLOOKUP(C201,'MH Underwriting'!$E$126:$L$141,8,FALSE),""))</f>
        <v>Third</v>
      </c>
      <c r="L201" s="1288">
        <v>19</v>
      </c>
      <c r="M201" s="1207" t="str">
        <f t="shared" si="24"/>
        <v/>
      </c>
      <c r="N201" s="1207" t="str">
        <f>IF(M201&lt;&gt;"","Grant","")</f>
        <v/>
      </c>
      <c r="O201" s="1203" t="str">
        <f t="shared" si="12"/>
        <v/>
      </c>
      <c r="P201" s="1203" t="str">
        <f t="shared" si="13"/>
        <v/>
      </c>
      <c r="Q201" s="1207" t="str">
        <f>IF(M201&lt;&gt;"", "Permanent","")</f>
        <v/>
      </c>
      <c r="R201" s="1203"/>
      <c r="S201" s="1280" t="str">
        <f t="shared" si="23"/>
        <v/>
      </c>
      <c r="U201" s="1288">
        <v>19</v>
      </c>
      <c r="V201" s="1203" t="str">
        <f t="shared" si="14"/>
        <v/>
      </c>
      <c r="W201" s="1207" t="str">
        <f t="shared" si="18"/>
        <v/>
      </c>
      <c r="X201" s="1284" t="str">
        <f t="shared" si="15"/>
        <v/>
      </c>
      <c r="Y201" s="1203" t="str">
        <f t="shared" si="19"/>
        <v/>
      </c>
      <c r="Z201" s="1203" t="str">
        <f t="shared" si="16"/>
        <v/>
      </c>
      <c r="AB201" s="1288">
        <v>19</v>
      </c>
      <c r="AC201" s="1203" t="str">
        <f t="shared" si="20"/>
        <v/>
      </c>
      <c r="AD201" s="1284" t="str">
        <f t="shared" si="17"/>
        <v/>
      </c>
      <c r="AE201" s="1203" t="str">
        <f t="shared" si="21"/>
        <v/>
      </c>
      <c r="AF201" s="1280" t="str">
        <f>Table8[[#This Row],[Total]]</f>
        <v/>
      </c>
    </row>
    <row r="202" spans="1:32" x14ac:dyDescent="0.25">
      <c r="A202" t="s">
        <v>1185</v>
      </c>
      <c r="B202" s="1203" t="s">
        <v>1423</v>
      </c>
      <c r="C202" s="1203" t="str">
        <f>IF('MH Underwriting'!D98="","",'MH Underwriting'!D98)</f>
        <v>General Partner (or Affiliate) Loan</v>
      </c>
      <c r="D202" s="1203" t="str">
        <f>IF('MH Underwriting'!F98="","",'MH Underwriting'!F98)</f>
        <v/>
      </c>
      <c r="E202" s="1284" t="str">
        <f>IF(SUM('MH Underwriting'!G98:L98)&lt;&gt;0,SUM('MH Underwriting'!G98:L98),"")</f>
        <v/>
      </c>
      <c r="F202" s="1284" t="str">
        <f>IF('MH Underwriting'!P98&lt;&gt;0,'MH Underwriting'!P98,"")</f>
        <v/>
      </c>
      <c r="G202" s="1284" t="str">
        <f>IF('MH Underwriting'!T98&lt;&gt;0,'MH Underwriting'!T98,"")</f>
        <v/>
      </c>
      <c r="H202" s="1203">
        <f>IF(C202="","",_xlfn.IFNA(VLOOKUP(C202,'MH Underwriting'!$E$126:$L$141,6,FALSE),""))</f>
        <v>0</v>
      </c>
      <c r="I202" s="1203">
        <f>IF(C202="","",_xlfn.IFNA(VLOOKUP(C202,Sources!$B$43:$J$55,9,FALSE),""))</f>
        <v>30</v>
      </c>
      <c r="J202" s="1203" t="str">
        <f>IF(C202="","",_xlfn.IFNA(VLOOKUP(C202,'MH Underwriting'!$E$126:$L$141,8,FALSE),""))</f>
        <v>Unsecured</v>
      </c>
      <c r="L202" s="1288">
        <v>20</v>
      </c>
      <c r="M202" s="1207" t="str">
        <f t="shared" si="24"/>
        <v/>
      </c>
      <c r="N202" s="1207" t="str">
        <f t="shared" si="25"/>
        <v/>
      </c>
      <c r="O202" s="1203" t="str">
        <f t="shared" si="12"/>
        <v/>
      </c>
      <c r="P202" s="1203" t="str">
        <f t="shared" si="13"/>
        <v/>
      </c>
      <c r="Q202" s="1207" t="str">
        <f t="shared" si="22"/>
        <v/>
      </c>
      <c r="R202" s="1203"/>
      <c r="S202" s="1280" t="str">
        <f t="shared" si="23"/>
        <v/>
      </c>
      <c r="U202" s="1288">
        <v>20</v>
      </c>
      <c r="V202" s="1203" t="str">
        <f t="shared" si="14"/>
        <v/>
      </c>
      <c r="W202" s="1207" t="str">
        <f t="shared" si="18"/>
        <v/>
      </c>
      <c r="X202" s="1284" t="str">
        <f t="shared" si="15"/>
        <v/>
      </c>
      <c r="Y202" s="1203" t="str">
        <f>IF(V202="","",O202)</f>
        <v/>
      </c>
      <c r="Z202" s="1203" t="str">
        <f t="shared" si="16"/>
        <v/>
      </c>
      <c r="AB202" s="1288">
        <v>20</v>
      </c>
      <c r="AC202" s="1203" t="str">
        <f t="shared" si="20"/>
        <v/>
      </c>
      <c r="AD202" s="1284" t="str">
        <f t="shared" si="17"/>
        <v/>
      </c>
      <c r="AE202" s="1203" t="str">
        <f t="shared" si="21"/>
        <v/>
      </c>
      <c r="AF202" s="1280" t="str">
        <f>Table8[[#This Row],[Total]]</f>
        <v/>
      </c>
    </row>
    <row r="203" spans="1:32" x14ac:dyDescent="0.25">
      <c r="A203" t="s">
        <v>1185</v>
      </c>
      <c r="B203" s="1203" t="s">
        <v>1424</v>
      </c>
      <c r="C203" s="1203" t="str">
        <f>IF('MH Underwriting'!D99="","",'MH Underwriting'!D99)</f>
        <v>Deferred Developer Fee</v>
      </c>
      <c r="D203" s="1203" t="str">
        <f>IF('MH Underwriting'!F99="","",'MH Underwriting'!F99)</f>
        <v/>
      </c>
      <c r="E203" s="1284" t="str">
        <f>IF(SUM('MH Underwriting'!G99:L99)&lt;&gt;0,SUM('MH Underwriting'!G99:L99),"")</f>
        <v/>
      </c>
      <c r="F203" s="1284" t="str">
        <f>IF('MH Underwriting'!P99&lt;&gt;0,'MH Underwriting'!P99,"")</f>
        <v/>
      </c>
      <c r="G203" s="1284" t="str">
        <f>IF('MH Underwriting'!T99&lt;&gt;0,'MH Underwriting'!T99,"")</f>
        <v/>
      </c>
      <c r="H203" s="1203">
        <f>IF(C203="","",_xlfn.IFNA(VLOOKUP(C203,'MH Underwriting'!$E$126:$L$141,6,FALSE),""))</f>
        <v>0</v>
      </c>
      <c r="I203" s="1203">
        <f>IF(C203="","",_xlfn.IFNA(VLOOKUP(C203,Sources!$B$43:$J$55,9,FALSE),""))</f>
        <v>0</v>
      </c>
      <c r="J203" s="1203" t="str">
        <f>IF(C203="","",_xlfn.IFNA(VLOOKUP(C203,'MH Underwriting'!$E$126:$L$141,8,FALSE),""))</f>
        <v>Unsecured</v>
      </c>
      <c r="L203" s="1288">
        <v>21</v>
      </c>
      <c r="M203" s="1207" t="str">
        <f t="shared" si="24"/>
        <v/>
      </c>
      <c r="N203" s="1207" t="str">
        <f t="shared" si="25"/>
        <v/>
      </c>
      <c r="O203" s="1203" t="str">
        <f t="shared" si="12"/>
        <v/>
      </c>
      <c r="P203" s="1203" t="str">
        <f t="shared" si="13"/>
        <v/>
      </c>
      <c r="Q203" s="1207" t="str">
        <f t="shared" si="22"/>
        <v/>
      </c>
      <c r="R203" s="1203"/>
      <c r="S203" s="1280" t="str">
        <f t="shared" si="23"/>
        <v/>
      </c>
      <c r="U203" s="1288">
        <v>21</v>
      </c>
      <c r="V203" s="1203" t="str">
        <f t="shared" si="14"/>
        <v/>
      </c>
      <c r="W203" s="1207" t="str">
        <f t="shared" si="18"/>
        <v/>
      </c>
      <c r="X203" s="1280" t="str">
        <f t="shared" si="15"/>
        <v/>
      </c>
      <c r="Y203" s="1203" t="str">
        <f>IF(V203="","",O203)</f>
        <v/>
      </c>
      <c r="Z203" s="1203" t="str">
        <f t="shared" si="16"/>
        <v/>
      </c>
      <c r="AB203" s="1288">
        <v>21</v>
      </c>
      <c r="AC203" s="1203" t="str">
        <f t="shared" si="20"/>
        <v/>
      </c>
      <c r="AD203" s="1284" t="str">
        <f t="shared" si="17"/>
        <v/>
      </c>
      <c r="AE203" s="1203" t="str">
        <f>IF(V203="","","Deferred Developer Fee")</f>
        <v/>
      </c>
      <c r="AF203" s="1280" t="str">
        <f>Table8[[#This Row],[Total]]</f>
        <v/>
      </c>
    </row>
    <row r="204" spans="1:32" x14ac:dyDescent="0.25">
      <c r="A204" t="s">
        <v>278</v>
      </c>
      <c r="E204" s="1214">
        <f>SUBTOTAL(109,Table8[CLC])</f>
        <v>0</v>
      </c>
      <c r="F204" s="1214">
        <f>SUBTOTAL(109,Table8[PLC])</f>
        <v>0</v>
      </c>
      <c r="G204" s="1214">
        <f>SUBTOTAL(109,Table8[Total])</f>
        <v>0</v>
      </c>
      <c r="L204" t="s">
        <v>278</v>
      </c>
      <c r="S204" s="1214">
        <f>SUBTOTAL(109,Table32[Amount])</f>
        <v>0</v>
      </c>
      <c r="U204" s="1293" t="s">
        <v>278</v>
      </c>
      <c r="X204" s="1275">
        <f>SUBTOTAL(109,Table33[Amount])</f>
        <v>0</v>
      </c>
      <c r="AB204" s="1292" t="s">
        <v>466</v>
      </c>
      <c r="AC204" s="1199"/>
      <c r="AD204" s="1277" t="str">
        <f>IF(SUM(AD183:AD203)&lt;&gt;0,SUM(AD183:AD203),"")</f>
        <v/>
      </c>
      <c r="AE204" s="1199"/>
      <c r="AF204" s="1278" t="str">
        <f>IF(SUM(AF183:AF203)&lt;&gt;0,SUM(AF183:AF203),"")</f>
        <v/>
      </c>
    </row>
    <row r="205" spans="1:32" x14ac:dyDescent="0.25">
      <c r="N205" s="1198"/>
      <c r="Q205" s="1198"/>
      <c r="W205" s="1198"/>
    </row>
    <row r="206" spans="1:32" x14ac:dyDescent="0.25">
      <c r="B206" s="1202" t="s">
        <v>1425</v>
      </c>
      <c r="C206" s="1202">
        <f>SUMIF(D189:D191,"",G189:G191)</f>
        <v>0</v>
      </c>
    </row>
    <row r="207" spans="1:32" x14ac:dyDescent="0.25">
      <c r="B207" s="1294" t="s">
        <v>1543</v>
      </c>
      <c r="C207" s="1294">
        <f>SUM(SUMIF(D192:D193,"",G192:G193),IF(AND(D194="",'Tax Credit Calculations'!D38&lt;&gt;"Yes"),Mapping!G194,0))</f>
        <v>0</v>
      </c>
    </row>
    <row r="208" spans="1:32" x14ac:dyDescent="0.25">
      <c r="B208" s="1203" t="s">
        <v>1426</v>
      </c>
      <c r="C208" s="1203">
        <f>SUM(SUMIF(D188:D188,"",G188:G188),SUMIF(D195:D203,"",G195:G203))</f>
        <v>0</v>
      </c>
    </row>
    <row r="209" spans="1:31" x14ac:dyDescent="0.25">
      <c r="B209" s="1201" t="s">
        <v>1427</v>
      </c>
      <c r="C209" s="1201">
        <f>SUMIF(D186:D187,"",G186:G187)</f>
        <v>0</v>
      </c>
    </row>
    <row r="210" spans="1:31" x14ac:dyDescent="0.25">
      <c r="B210" s="1299" t="s">
        <v>1713</v>
      </c>
      <c r="C210" s="1200"/>
    </row>
    <row r="212" spans="1:31" ht="18" x14ac:dyDescent="0.35">
      <c r="A212" s="1224" t="s">
        <v>1647</v>
      </c>
      <c r="B212" s="1224" t="s">
        <v>1641</v>
      </c>
      <c r="C212" s="1224"/>
      <c r="D212" s="1224"/>
      <c r="E212" s="1197"/>
      <c r="G212" s="1225" t="s">
        <v>1617</v>
      </c>
      <c r="H212" s="1225" t="s">
        <v>1639</v>
      </c>
      <c r="L212" s="1226" t="s">
        <v>1642</v>
      </c>
      <c r="M212" s="1226"/>
      <c r="T212" s="1197"/>
      <c r="AA212" s="1197"/>
      <c r="AB212" s="1197"/>
      <c r="AC212" s="1197"/>
      <c r="AD212" s="1197"/>
      <c r="AE212" s="1197"/>
    </row>
    <row r="213" spans="1:31" s="1197" customFormat="1" x14ac:dyDescent="0.25">
      <c r="A213" s="1197" t="s">
        <v>1178</v>
      </c>
      <c r="B213" s="1197" t="s">
        <v>1471</v>
      </c>
      <c r="C213" s="1197" t="s">
        <v>1476</v>
      </c>
      <c r="D213" s="1197" t="s">
        <v>278</v>
      </c>
      <c r="G213" s="1197" t="s">
        <v>1643</v>
      </c>
      <c r="H213" s="1197" t="s">
        <v>1644</v>
      </c>
      <c r="L213" s="1197" t="s">
        <v>1645</v>
      </c>
      <c r="M213" s="1197" t="s">
        <v>1646</v>
      </c>
      <c r="T213"/>
      <c r="AA213"/>
      <c r="AB213"/>
      <c r="AC213"/>
      <c r="AD213"/>
      <c r="AE213"/>
    </row>
    <row r="214" spans="1:31" x14ac:dyDescent="0.25">
      <c r="A214" t="s">
        <v>1470</v>
      </c>
      <c r="B214" t="s">
        <v>1472</v>
      </c>
      <c r="C214" t="str">
        <f>IF('Additional Prj Cost Information'!E16&lt;&gt;0,CONCATENATE(IF('Additional Prj Cost Information'!C6&lt;&gt;"",'Additional Prj Cost Information'!C6&amp;", ",""),IF('Additional Prj Cost Information'!C7&lt;&gt;"",'Additional Prj Cost Information'!C7&amp;", ",""),IF('Additional Prj Cost Information'!C8&lt;&gt;"",'Additional Prj Cost Information'!C8&amp;", ",""),IF('Additional Prj Cost Information'!C9&lt;&gt;"",'Additional Prj Cost Information'!C9&amp;", ",""), ,IF('Additional Prj Cost Information'!C10&lt;&gt;"",'Additional Prj Cost Information'!C10&amp;", ",""),IF('Additional Prj Cost Information'!C11&lt;&gt;"",'Additional Prj Cost Information'!C11&amp;", ",""),,IF('Additional Prj Cost Information'!C12&lt;&gt;"",'Additional Prj Cost Information'!C12&amp;", ",""),IF('Additional Prj Cost Information'!C13&lt;&gt;"",'Additional Prj Cost Information'!C13&amp;", ",""),IF('Additional Prj Cost Information'!C14&lt;&gt;"",'Additional Prj Cost Information'!C14&amp;", ",""),IF('Additional Prj Cost Information'!C15&lt;&gt;"",'Additional Prj Cost Information'!C15&amp;", ","")),"None")</f>
        <v>None</v>
      </c>
      <c r="D214">
        <f>'Additional Prj Cost Information'!E16</f>
        <v>0</v>
      </c>
      <c r="G214" t="str">
        <f>IF(Table10[[#This Row],[Concat Cost Names]]="None", "None", LEFT(Table10[[#This Row],[Concat Cost Names]],LEN(TRIM(Table10[[#This Row],[Concat Cost Names]]))-1))</f>
        <v>None</v>
      </c>
      <c r="H214">
        <f t="shared" ref="H214:H219" si="26">D214</f>
        <v>0</v>
      </c>
      <c r="L214" t="str">
        <f t="shared" ref="L214:L219" si="27">G214</f>
        <v>None</v>
      </c>
      <c r="M214">
        <f t="shared" ref="M214:M219" si="28">H214</f>
        <v>0</v>
      </c>
    </row>
    <row r="215" spans="1:31" x14ac:dyDescent="0.25">
      <c r="A215" t="s">
        <v>1470</v>
      </c>
      <c r="B215" t="s">
        <v>1475</v>
      </c>
      <c r="C215" t="str">
        <f>IF('Additional Prj Cost Information'!E30&lt;&gt;0,CONCATENATE(IF('Additional Prj Cost Information'!C20&lt;&gt;"",'Additional Prj Cost Information'!C20&amp;", ",""),IF('Additional Prj Cost Information'!C21&lt;&gt;"",'Additional Prj Cost Information'!C21&amp;", ",""),IF('Additional Prj Cost Information'!C22&lt;&gt;"",'Additional Prj Cost Information'!C22&amp;", ",""),IF('Additional Prj Cost Information'!C23&lt;&gt;"",'Additional Prj Cost Information'!C23&amp;", ",""), ,IF('Additional Prj Cost Information'!C24&lt;&gt;"",'Additional Prj Cost Information'!C24&amp;", ",""),IF('Additional Prj Cost Information'!C25&lt;&gt;"",'Additional Prj Cost Information'!C25&amp;", ",""),,IF('Additional Prj Cost Information'!C26&lt;&gt;"",'Additional Prj Cost Information'!C26&amp;", ",""),IF('Additional Prj Cost Information'!C27&lt;&gt;"",'Additional Prj Cost Information'!C27&amp;", ",""),IF('Additional Prj Cost Information'!C28&lt;&gt;"",'Additional Prj Cost Information'!C28&amp;", ",""),IF('Additional Prj Cost Information'!C29&lt;&gt;"",'Additional Prj Cost Information'!C29&amp;", ","")),"None")</f>
        <v>None</v>
      </c>
      <c r="D215">
        <f>'Additional Prj Cost Information'!E30</f>
        <v>0</v>
      </c>
      <c r="G215" t="str">
        <f>IF(Table10[[#This Row],[Concat Cost Names]]="None", "None", LEFT(Table10[[#This Row],[Concat Cost Names]],LEN(TRIM(Table10[[#This Row],[Concat Cost Names]]))-1))</f>
        <v>None</v>
      </c>
      <c r="H215">
        <f t="shared" si="26"/>
        <v>0</v>
      </c>
      <c r="L215" t="str">
        <f t="shared" si="27"/>
        <v>None</v>
      </c>
      <c r="M215">
        <f t="shared" si="28"/>
        <v>0</v>
      </c>
    </row>
    <row r="216" spans="1:31" x14ac:dyDescent="0.25">
      <c r="A216" t="s">
        <v>1470</v>
      </c>
      <c r="B216" t="s">
        <v>1473</v>
      </c>
      <c r="C216" t="str">
        <f>IF('Additional Prj Cost Information'!E44&lt;&gt;0,CONCATENATE(IF('Additional Prj Cost Information'!C34&lt;&gt;"",'Additional Prj Cost Information'!C34&amp;", ",""),IF('Additional Prj Cost Information'!C35&lt;&gt;"",'Additional Prj Cost Information'!C35&amp;", ",""),IF('Additional Prj Cost Information'!C36&lt;&gt;"",'Additional Prj Cost Information'!C36&amp;", ",""),IF('Additional Prj Cost Information'!C37&lt;&gt;"",'Additional Prj Cost Information'!C37&amp;", ",""), ,IF('Additional Prj Cost Information'!C38&lt;&gt;"",'Additional Prj Cost Information'!C38&amp;", ",""),IF('Additional Prj Cost Information'!C39&lt;&gt;"",'Additional Prj Cost Information'!C39&amp;", ",""),,IF('Additional Prj Cost Information'!C40&lt;&gt;"",'Additional Prj Cost Information'!C40&amp;", ",""),IF('Additional Prj Cost Information'!C41&lt;&gt;"",'Additional Prj Cost Information'!C41&amp;", ",""),IF('Additional Prj Cost Information'!C42&lt;&gt;"",'Additional Prj Cost Information'!C42&amp;", ",""),IF('Additional Prj Cost Information'!C43&lt;&gt;"",'Additional Prj Cost Information'!C43&amp;", ","")),"None")</f>
        <v>None</v>
      </c>
      <c r="D216">
        <f>'Additional Prj Cost Information'!E44</f>
        <v>0</v>
      </c>
      <c r="G216" t="str">
        <f>IF(Table10[[#This Row],[Concat Cost Names]]="None", "None", LEFT(Table10[[#This Row],[Concat Cost Names]],LEN(TRIM(Table10[[#This Row],[Concat Cost Names]]))-1))</f>
        <v>None</v>
      </c>
      <c r="H216">
        <f t="shared" si="26"/>
        <v>0</v>
      </c>
      <c r="L216" t="str">
        <f t="shared" si="27"/>
        <v>None</v>
      </c>
      <c r="M216">
        <f t="shared" si="28"/>
        <v>0</v>
      </c>
    </row>
    <row r="217" spans="1:31" x14ac:dyDescent="0.25">
      <c r="A217" t="s">
        <v>1470</v>
      </c>
      <c r="B217" t="s">
        <v>118</v>
      </c>
      <c r="C217" t="str">
        <f>IF('Additional Prj Cost Information'!E58&lt;&gt;0,CONCATENATE(IF('Additional Prj Cost Information'!C48&lt;&gt;"",'Additional Prj Cost Information'!C48&amp;", ",""),IF('Additional Prj Cost Information'!C49&lt;&gt;"",'Additional Prj Cost Information'!C49&amp;", ",""),IF('Additional Prj Cost Information'!C50&lt;&gt;"",'Additional Prj Cost Information'!C50&amp;", ",""),IF('Additional Prj Cost Information'!C51&lt;&gt;"",'Additional Prj Cost Information'!C51&amp;", ",""), ,IF('Additional Prj Cost Information'!C52&lt;&gt;"",'Additional Prj Cost Information'!C52&amp;", ",""),IF('Additional Prj Cost Information'!C53&lt;&gt;"",'Additional Prj Cost Information'!C53&amp;", ",""),,IF('Additional Prj Cost Information'!C54&lt;&gt;"",'Additional Prj Cost Information'!C54&amp;", ",""),IF('Additional Prj Cost Information'!C55&lt;&gt;"",'Additional Prj Cost Information'!C55&amp;", ",""),IF('Additional Prj Cost Information'!C56&lt;&gt;"",'Additional Prj Cost Information'!C56&amp;", ",""),IF('Additional Prj Cost Information'!C57&lt;&gt;"",'Additional Prj Cost Information'!C57&amp;", ","")),"None")</f>
        <v>None</v>
      </c>
      <c r="D217">
        <f>'Additional Prj Cost Information'!E58</f>
        <v>0</v>
      </c>
      <c r="G217" t="str">
        <f>IF(Table10[[#This Row],[Concat Cost Names]]="None", "None", LEFT(Table10[[#This Row],[Concat Cost Names]],LEN(TRIM(Table10[[#This Row],[Concat Cost Names]]))-1))</f>
        <v>None</v>
      </c>
      <c r="H217">
        <f t="shared" si="26"/>
        <v>0</v>
      </c>
      <c r="L217" t="str">
        <f t="shared" si="27"/>
        <v>None</v>
      </c>
      <c r="M217">
        <f t="shared" si="28"/>
        <v>0</v>
      </c>
    </row>
    <row r="218" spans="1:31" x14ac:dyDescent="0.25">
      <c r="A218" t="s">
        <v>1470</v>
      </c>
      <c r="B218" t="s">
        <v>343</v>
      </c>
      <c r="C218" t="str">
        <f>IF('Additional Prj Cost Information'!E71&lt;&gt;0,CONCATENATE(IF('Additional Prj Cost Information'!C61&lt;&gt;"",'Additional Prj Cost Information'!C61&amp;", ",""),IF('Additional Prj Cost Information'!C62&lt;&gt;"",'Additional Prj Cost Information'!C62&amp;", ",""),IF('Additional Prj Cost Information'!C63&lt;&gt;"",'Additional Prj Cost Information'!C63&amp;", ",""),IF('Additional Prj Cost Information'!C64&lt;&gt;"",'Additional Prj Cost Information'!C64&amp;", ",""), ,IF('Additional Prj Cost Information'!C65&lt;&gt;"",'Additional Prj Cost Information'!C65&amp;", ",""),IF('Additional Prj Cost Information'!C66&lt;&gt;"",'Additional Prj Cost Information'!C66&amp;", ",""),,IF('Additional Prj Cost Information'!C67&lt;&gt;"",'Additional Prj Cost Information'!C67&amp;", ",""),IF('Additional Prj Cost Information'!C68&lt;&gt;"",'Additional Prj Cost Information'!C68&amp;", ",""),IF('Additional Prj Cost Information'!C69&lt;&gt;"",'Additional Prj Cost Information'!C69&amp;", ",""),IF('Additional Prj Cost Information'!C70&lt;&gt;"",'Additional Prj Cost Information'!C70&amp;", ","")),"None")</f>
        <v>None</v>
      </c>
      <c r="D218">
        <f>'Additional Prj Cost Information'!E71</f>
        <v>0</v>
      </c>
      <c r="G218" t="str">
        <f>IF(Table10[[#This Row],[Concat Cost Names]]="None", "None", LEFT(Table10[[#This Row],[Concat Cost Names]],LEN(TRIM(Table10[[#This Row],[Concat Cost Names]]))-1))</f>
        <v>None</v>
      </c>
      <c r="H218">
        <f t="shared" si="26"/>
        <v>0</v>
      </c>
      <c r="L218" t="str">
        <f t="shared" si="27"/>
        <v>None</v>
      </c>
      <c r="M218">
        <f t="shared" si="28"/>
        <v>0</v>
      </c>
    </row>
    <row r="219" spans="1:31" x14ac:dyDescent="0.25">
      <c r="A219" t="s">
        <v>1470</v>
      </c>
      <c r="B219" t="s">
        <v>1474</v>
      </c>
      <c r="C219" t="str">
        <f>IF('Additional Prj Cost Information'!E85&lt;&gt;0,CONCATENATE(IF('Additional Prj Cost Information'!C75&lt;&gt;"",'Additional Prj Cost Information'!C75&amp;", ",""),IF('Additional Prj Cost Information'!C76&lt;&gt;"",'Additional Prj Cost Information'!C76&amp;", ",""),IF('Additional Prj Cost Information'!C77&lt;&gt;"",'Additional Prj Cost Information'!C77&amp;", ",""),IF('Additional Prj Cost Information'!C78&lt;&gt;"",'Additional Prj Cost Information'!C78&amp;", ",""), ,IF('Additional Prj Cost Information'!C79&lt;&gt;"",'Additional Prj Cost Information'!C79&amp;", ",""),IF('Additional Prj Cost Information'!C80&lt;&gt;"",'Additional Prj Cost Information'!C80&amp;", ",""),,IF('Additional Prj Cost Information'!C81&lt;&gt;"",'Additional Prj Cost Information'!C81&amp;", ",""),IF('Additional Prj Cost Information'!C82&lt;&gt;"",'Additional Prj Cost Information'!C82&amp;", ",""),IF('Additional Prj Cost Information'!C83&lt;&gt;"",'Additional Prj Cost Information'!C83&amp;", ",""),IF('Additional Prj Cost Information'!C84&lt;&gt;"",'Additional Prj Cost Information'!C84&amp;", ","")),"None")</f>
        <v>None</v>
      </c>
      <c r="D219">
        <f>'Additional Prj Cost Information'!E85</f>
        <v>0</v>
      </c>
      <c r="G219" t="str">
        <f>IF(Table10[[#This Row],[Concat Cost Names]]="None", "None", LEFT(Table10[[#This Row],[Concat Cost Names]],LEN(TRIM(Table10[[#This Row],[Concat Cost Names]]))-1))</f>
        <v>None</v>
      </c>
      <c r="H219">
        <f t="shared" si="26"/>
        <v>0</v>
      </c>
      <c r="L219" t="str">
        <f t="shared" si="27"/>
        <v>None</v>
      </c>
      <c r="M219">
        <f t="shared" si="28"/>
        <v>0</v>
      </c>
    </row>
    <row r="222" spans="1:31" ht="18" x14ac:dyDescent="0.35">
      <c r="A222" s="1224" t="s">
        <v>1651</v>
      </c>
      <c r="B222" s="1224" t="s">
        <v>1587</v>
      </c>
      <c r="C222" s="1224"/>
      <c r="G222" s="1225" t="s">
        <v>1617</v>
      </c>
      <c r="H222" s="1225" t="s">
        <v>1639</v>
      </c>
      <c r="I222" s="1225"/>
      <c r="T222" s="1197"/>
      <c r="AA222" s="1197"/>
      <c r="AB222" s="1197"/>
      <c r="AC222" s="1197"/>
      <c r="AD222" s="1197"/>
      <c r="AE222" s="1197"/>
    </row>
    <row r="223" spans="1:31" s="1197" customFormat="1" x14ac:dyDescent="0.25">
      <c r="A223" s="1197" t="s">
        <v>1178</v>
      </c>
      <c r="B223" s="1197" t="s">
        <v>1229</v>
      </c>
      <c r="C223" s="1197" t="s">
        <v>1145</v>
      </c>
      <c r="G223" s="1197" t="s">
        <v>1444</v>
      </c>
      <c r="H223" s="1197" t="s">
        <v>1251</v>
      </c>
      <c r="I223" s="1197" t="s">
        <v>1145</v>
      </c>
      <c r="T223"/>
      <c r="AA223"/>
      <c r="AB223"/>
      <c r="AC223"/>
      <c r="AD223"/>
      <c r="AE223"/>
    </row>
    <row r="224" spans="1:31" x14ac:dyDescent="0.25">
      <c r="A224" t="s">
        <v>1587</v>
      </c>
      <c r="B224" t="s">
        <v>842</v>
      </c>
      <c r="C224" s="1214">
        <f>'TDC per Unit'!F43</f>
        <v>0</v>
      </c>
      <c r="G224" t="s">
        <v>1611</v>
      </c>
      <c r="H224" t="s">
        <v>1587</v>
      </c>
      <c r="I224">
        <f>IF(C224="","",C224)</f>
        <v>0</v>
      </c>
    </row>
    <row r="225" spans="1:31" x14ac:dyDescent="0.25">
      <c r="A225" t="s">
        <v>1587</v>
      </c>
      <c r="B225" t="s">
        <v>843</v>
      </c>
      <c r="C225" s="1214">
        <f>'TDC per Unit'!F44</f>
        <v>0</v>
      </c>
      <c r="G225" t="s">
        <v>1611</v>
      </c>
      <c r="H225" t="s">
        <v>1612</v>
      </c>
      <c r="I225">
        <f>IF(C225="","",C225)</f>
        <v>0</v>
      </c>
    </row>
    <row r="226" spans="1:31" x14ac:dyDescent="0.25">
      <c r="A226" t="s">
        <v>1587</v>
      </c>
      <c r="B226" t="s">
        <v>844</v>
      </c>
      <c r="C226" s="1194">
        <f>'TDC per Unit'!F46</f>
        <v>0</v>
      </c>
      <c r="G226" t="s">
        <v>1611</v>
      </c>
      <c r="H226" t="s">
        <v>844</v>
      </c>
      <c r="I226">
        <f>IF(C226="","",C226)</f>
        <v>0</v>
      </c>
    </row>
    <row r="227" spans="1:31" x14ac:dyDescent="0.25">
      <c r="A227" t="s">
        <v>1587</v>
      </c>
      <c r="B227" t="s">
        <v>845</v>
      </c>
      <c r="C227" s="1215">
        <f>'TDC per Unit'!K46</f>
        <v>340000</v>
      </c>
      <c r="G227" t="s">
        <v>1611</v>
      </c>
      <c r="H227" t="s">
        <v>1613</v>
      </c>
      <c r="I227">
        <f>IF(C227="","",C227)</f>
        <v>340000</v>
      </c>
    </row>
    <row r="228" spans="1:31" x14ac:dyDescent="0.25">
      <c r="C228" s="1215"/>
    </row>
    <row r="230" spans="1:31" ht="18" x14ac:dyDescent="0.35">
      <c r="A230" s="1224" t="s">
        <v>1663</v>
      </c>
      <c r="B230" s="1224" t="s">
        <v>798</v>
      </c>
      <c r="C230" s="1224"/>
      <c r="D230" s="1224"/>
      <c r="E230" s="1224"/>
      <c r="F230" s="1197"/>
      <c r="G230" s="1225" t="s">
        <v>1617</v>
      </c>
      <c r="H230" s="1225" t="s">
        <v>1648</v>
      </c>
      <c r="I230" s="1225"/>
      <c r="J230" s="1225"/>
      <c r="L230" s="1226" t="s">
        <v>1649</v>
      </c>
      <c r="M230" s="1226"/>
      <c r="N230" s="1226"/>
      <c r="O230" s="1226"/>
      <c r="T230" s="1197"/>
      <c r="AA230" s="1197"/>
      <c r="AB230" s="1197"/>
      <c r="AC230" s="1197"/>
      <c r="AD230" s="1197"/>
      <c r="AE230" s="1197"/>
    </row>
    <row r="231" spans="1:31" s="1197" customFormat="1" x14ac:dyDescent="0.25">
      <c r="A231" s="1197" t="s">
        <v>1178</v>
      </c>
      <c r="B231" s="1197" t="s">
        <v>1302</v>
      </c>
      <c r="C231" s="1197" t="s">
        <v>309</v>
      </c>
      <c r="D231" s="1197" t="s">
        <v>840</v>
      </c>
      <c r="E231" s="1197" t="s">
        <v>1303</v>
      </c>
      <c r="G231" s="1197" t="s">
        <v>913</v>
      </c>
      <c r="H231" s="1197" t="s">
        <v>1305</v>
      </c>
      <c r="I231" s="1197" t="s">
        <v>1306</v>
      </c>
      <c r="J231" s="1197" t="s">
        <v>1307</v>
      </c>
      <c r="L231" s="1197" t="s">
        <v>1346</v>
      </c>
      <c r="M231" s="1197" t="s">
        <v>1347</v>
      </c>
      <c r="N231" s="1197" t="s">
        <v>1650</v>
      </c>
      <c r="O231" s="1197" t="s">
        <v>1348</v>
      </c>
      <c r="T231"/>
      <c r="AA231"/>
      <c r="AB231"/>
      <c r="AC231"/>
      <c r="AD231"/>
      <c r="AE231"/>
    </row>
    <row r="232" spans="1:31" x14ac:dyDescent="0.25">
      <c r="A232" t="s">
        <v>1304</v>
      </c>
      <c r="B232" t="str">
        <f>IF('Project Income &amp; UA'!E33="","",'Project Income &amp; UA'!E33)</f>
        <v/>
      </c>
      <c r="C232" s="1250" t="str">
        <f>IF('Project Income &amp; UA'!F33="","",'Project Income &amp; UA'!F33)</f>
        <v/>
      </c>
      <c r="D232" t="str">
        <f>IF('Project Income &amp; UA'!G33="","",'Project Income &amp; UA'!G33)</f>
        <v/>
      </c>
      <c r="E232" t="str">
        <f>IF('Project Income &amp; UA'!J33=0,"",'Project Income &amp; UA'!J33)</f>
        <v/>
      </c>
      <c r="G232" s="1198" t="str">
        <f>IF(B232=0,"Efficiency",IF(B232=1,"1BR, 1BA",IF(B232=2,"2BR, 1BA",IF(B232=3,"3BR, 1BA",IF(B232=4,"4BR, 1BA",IF(B232=5,"5BR, 1BA",IF(B232=6,"6BR or More","")))))))</f>
        <v/>
      </c>
      <c r="H232" s="1300" t="str">
        <f>IF(C232="","",IF(LEN(Table11[[#This Row],[AMI]])&gt;3,LEFT(Table11[[#This Row],[AMI]],3),IF(Table11[[#This Row],[AMI]]="Mkt","",C232)))</f>
        <v/>
      </c>
      <c r="I232" t="str">
        <f>IF(D232="","",D232)</f>
        <v/>
      </c>
      <c r="J232" t="str">
        <f>IF(E232="","",E232)</f>
        <v/>
      </c>
      <c r="L232" s="1198" t="str">
        <f t="shared" ref="L232:L254" si="29">IF(B232=0,"Efficiency",IF(B232=1,"1 Bedroom",IF(B232=2,"2 Bedroom",IF(B232=3,"3 Bedroom",IF(B232=4,"4 Bedroom",IF(B232=5,"5 Bedroom",IF(B232=6,"6 Bedroom","")))))))</f>
        <v/>
      </c>
      <c r="M232" s="1250" t="str">
        <f>IF(C232="","",IF(LEN(Table11[[#This Row],[AMI]])&gt;3,LEFT(Table11[[#This Row],[AMI]],3),IF(Table11[[#This Row],[AMI]]="Mkt","Market",C232)))</f>
        <v/>
      </c>
      <c r="N232" t="str">
        <f t="shared" ref="N232:N254" si="30">IF(D232="","",D232)</f>
        <v/>
      </c>
      <c r="O232" t="str">
        <f t="shared" ref="O232:O254" si="31">IF(E232="","",E232)</f>
        <v/>
      </c>
    </row>
    <row r="233" spans="1:31" x14ac:dyDescent="0.25">
      <c r="A233" t="s">
        <v>1304</v>
      </c>
      <c r="B233" t="str">
        <f>IF('Project Income &amp; UA'!E34="","",'Project Income &amp; UA'!E34)</f>
        <v/>
      </c>
      <c r="C233" s="1250" t="str">
        <f>IF('Project Income &amp; UA'!F34="","",'Project Income &amp; UA'!F34)</f>
        <v/>
      </c>
      <c r="D233" t="str">
        <f>IF('Project Income &amp; UA'!G34="","",'Project Income &amp; UA'!G34)</f>
        <v/>
      </c>
      <c r="E233" t="str">
        <f>IF('Project Income &amp; UA'!J34=0,"",'Project Income &amp; UA'!J34)</f>
        <v/>
      </c>
      <c r="G233" s="1198" t="str">
        <f t="shared" ref="G233:G254" si="32">IF(B233=0,"Efficiency",IF(B233=1,"1BR, 1BA",IF(B233=2,"2BR, 1BA",IF(B233=3,"3BR, 1BA",IF(B233=4,"4BR, 1BA",IF(B233=5,"5BR, 1BA",IF(B233=6,"6BR or More","")))))))</f>
        <v/>
      </c>
      <c r="H233" s="1300" t="str">
        <f>IF(C233="","",IF(LEN(Table11[[#This Row],[AMI]])&gt;3,LEFT(Table11[[#This Row],[AMI]],3),IF(Table11[[#This Row],[AMI]]="Mkt","",C233)))</f>
        <v/>
      </c>
      <c r="I233" t="str">
        <f t="shared" ref="I233:I254" si="33">IF(D233="","",D233)</f>
        <v/>
      </c>
      <c r="J233" t="str">
        <f t="shared" ref="J233:J254" si="34">IF(E233="","",E233)</f>
        <v/>
      </c>
      <c r="L233" s="1198" t="str">
        <f t="shared" si="29"/>
        <v/>
      </c>
      <c r="M233" s="1250" t="str">
        <f>IF(C233="","",IF(LEN(Table11[[#This Row],[AMI]])&gt;3,LEFT(Table11[[#This Row],[AMI]],3),IF(Table11[[#This Row],[AMI]]="Mkt","Market",C233)))</f>
        <v/>
      </c>
      <c r="N233" t="str">
        <f t="shared" si="30"/>
        <v/>
      </c>
      <c r="O233" t="str">
        <f t="shared" si="31"/>
        <v/>
      </c>
    </row>
    <row r="234" spans="1:31" x14ac:dyDescent="0.25">
      <c r="A234" t="s">
        <v>1304</v>
      </c>
      <c r="B234" t="str">
        <f>IF('Project Income &amp; UA'!E35="","",'Project Income &amp; UA'!E35)</f>
        <v/>
      </c>
      <c r="C234" s="1250" t="str">
        <f>IF('Project Income &amp; UA'!F35="","",'Project Income &amp; UA'!F35)</f>
        <v/>
      </c>
      <c r="D234" t="str">
        <f>IF('Project Income &amp; UA'!G35="","",'Project Income &amp; UA'!G35)</f>
        <v/>
      </c>
      <c r="E234" t="str">
        <f>IF('Project Income &amp; UA'!J35=0,"",'Project Income &amp; UA'!J35)</f>
        <v/>
      </c>
      <c r="G234" s="1198" t="str">
        <f t="shared" si="32"/>
        <v/>
      </c>
      <c r="H234" s="1300" t="str">
        <f>IF(C234="","",IF(LEN(Table11[[#This Row],[AMI]])&gt;3,LEFT(Table11[[#This Row],[AMI]],3),IF(Table11[[#This Row],[AMI]]="Mkt","",C234)))</f>
        <v/>
      </c>
      <c r="I234" t="str">
        <f t="shared" si="33"/>
        <v/>
      </c>
      <c r="J234" t="str">
        <f t="shared" si="34"/>
        <v/>
      </c>
      <c r="L234" s="1198" t="str">
        <f t="shared" si="29"/>
        <v/>
      </c>
      <c r="M234" s="1250" t="str">
        <f>IF(C234="","",IF(LEN(Table11[[#This Row],[AMI]])&gt;3,LEFT(Table11[[#This Row],[AMI]],3),IF(Table11[[#This Row],[AMI]]="Mkt","Market",C234)))</f>
        <v/>
      </c>
      <c r="N234" t="str">
        <f t="shared" si="30"/>
        <v/>
      </c>
      <c r="O234" t="str">
        <f t="shared" si="31"/>
        <v/>
      </c>
    </row>
    <row r="235" spans="1:31" x14ac:dyDescent="0.25">
      <c r="A235" t="s">
        <v>1304</v>
      </c>
      <c r="B235" t="str">
        <f>IF('Project Income &amp; UA'!E36="","",'Project Income &amp; UA'!E36)</f>
        <v/>
      </c>
      <c r="C235" s="1250" t="str">
        <f>IF('Project Income &amp; UA'!F36="","",'Project Income &amp; UA'!F36)</f>
        <v/>
      </c>
      <c r="D235" t="str">
        <f>IF('Project Income &amp; UA'!G36="","",'Project Income &amp; UA'!G36)</f>
        <v/>
      </c>
      <c r="E235" t="str">
        <f>IF('Project Income &amp; UA'!J36=0,"",'Project Income &amp; UA'!J36)</f>
        <v/>
      </c>
      <c r="G235" s="1198" t="str">
        <f t="shared" si="32"/>
        <v/>
      </c>
      <c r="H235" s="1300" t="str">
        <f>IF(C235="","",IF(LEN(Table11[[#This Row],[AMI]])&gt;3,LEFT(Table11[[#This Row],[AMI]],3),IF(Table11[[#This Row],[AMI]]="Mkt","",C235)))</f>
        <v/>
      </c>
      <c r="I235" t="str">
        <f t="shared" si="33"/>
        <v/>
      </c>
      <c r="J235" t="str">
        <f t="shared" si="34"/>
        <v/>
      </c>
      <c r="L235" s="1198" t="str">
        <f t="shared" si="29"/>
        <v/>
      </c>
      <c r="M235" s="1250" t="str">
        <f>IF(C235="","",IF(LEN(Table11[[#This Row],[AMI]])&gt;3,LEFT(Table11[[#This Row],[AMI]],3),IF(Table11[[#This Row],[AMI]]="Mkt","Market",C235)))</f>
        <v/>
      </c>
      <c r="N235" t="str">
        <f t="shared" si="30"/>
        <v/>
      </c>
      <c r="O235" t="str">
        <f t="shared" si="31"/>
        <v/>
      </c>
    </row>
    <row r="236" spans="1:31" x14ac:dyDescent="0.25">
      <c r="A236" t="s">
        <v>1304</v>
      </c>
      <c r="B236" t="str">
        <f>IF('Project Income &amp; UA'!E37="","",'Project Income &amp; UA'!E37)</f>
        <v/>
      </c>
      <c r="C236" s="1250" t="str">
        <f>IF('Project Income &amp; UA'!F37="","",'Project Income &amp; UA'!F37)</f>
        <v/>
      </c>
      <c r="D236" t="str">
        <f>IF('Project Income &amp; UA'!G37="","",'Project Income &amp; UA'!G37)</f>
        <v/>
      </c>
      <c r="E236" t="str">
        <f>IF('Project Income &amp; UA'!J37=0,"",'Project Income &amp; UA'!J37)</f>
        <v/>
      </c>
      <c r="G236" s="1198" t="str">
        <f t="shared" si="32"/>
        <v/>
      </c>
      <c r="H236" s="1300" t="str">
        <f>IF(C236="","",IF(LEN(Table11[[#This Row],[AMI]])&gt;3,LEFT(Table11[[#This Row],[AMI]],3),IF(Table11[[#This Row],[AMI]]="Mkt","",C236)))</f>
        <v/>
      </c>
      <c r="I236" t="str">
        <f t="shared" si="33"/>
        <v/>
      </c>
      <c r="J236" t="str">
        <f t="shared" si="34"/>
        <v/>
      </c>
      <c r="L236" s="1198" t="str">
        <f t="shared" si="29"/>
        <v/>
      </c>
      <c r="M236" s="1250" t="str">
        <f>IF(C236="","",IF(LEN(Table11[[#This Row],[AMI]])&gt;3,LEFT(Table11[[#This Row],[AMI]],3),IF(Table11[[#This Row],[AMI]]="Mkt","Market",C236)))</f>
        <v/>
      </c>
      <c r="N236" t="str">
        <f t="shared" si="30"/>
        <v/>
      </c>
      <c r="O236" t="str">
        <f t="shared" si="31"/>
        <v/>
      </c>
    </row>
    <row r="237" spans="1:31" x14ac:dyDescent="0.25">
      <c r="A237" t="s">
        <v>1304</v>
      </c>
      <c r="B237" t="str">
        <f>IF('Project Income &amp; UA'!E38="","",'Project Income &amp; UA'!E38)</f>
        <v/>
      </c>
      <c r="C237" s="1250" t="str">
        <f>IF('Project Income &amp; UA'!F38="","",'Project Income &amp; UA'!F38)</f>
        <v/>
      </c>
      <c r="D237" t="str">
        <f>IF('Project Income &amp; UA'!G38="","",'Project Income &amp; UA'!G38)</f>
        <v/>
      </c>
      <c r="E237" t="str">
        <f>IF('Project Income &amp; UA'!J38=0,"",'Project Income &amp; UA'!J38)</f>
        <v/>
      </c>
      <c r="G237" s="1198" t="str">
        <f t="shared" si="32"/>
        <v/>
      </c>
      <c r="H237" s="1300" t="str">
        <f>IF(C237="","",IF(LEN(Table11[[#This Row],[AMI]])&gt;3,LEFT(Table11[[#This Row],[AMI]],3),IF(Table11[[#This Row],[AMI]]="Mkt","",C237)))</f>
        <v/>
      </c>
      <c r="I237" t="str">
        <f t="shared" si="33"/>
        <v/>
      </c>
      <c r="J237" t="str">
        <f t="shared" si="34"/>
        <v/>
      </c>
      <c r="L237" s="1198" t="str">
        <f t="shared" si="29"/>
        <v/>
      </c>
      <c r="M237" s="1250" t="str">
        <f>IF(C237="","",IF(LEN(Table11[[#This Row],[AMI]])&gt;3,LEFT(Table11[[#This Row],[AMI]],3),IF(Table11[[#This Row],[AMI]]="Mkt","Market",C237)))</f>
        <v/>
      </c>
      <c r="N237" t="str">
        <f t="shared" si="30"/>
        <v/>
      </c>
      <c r="O237" t="str">
        <f t="shared" si="31"/>
        <v/>
      </c>
    </row>
    <row r="238" spans="1:31" x14ac:dyDescent="0.25">
      <c r="A238" t="s">
        <v>1304</v>
      </c>
      <c r="B238" t="str">
        <f>IF('Project Income &amp; UA'!E39="","",'Project Income &amp; UA'!E39)</f>
        <v/>
      </c>
      <c r="C238" s="1250" t="str">
        <f>IF('Project Income &amp; UA'!F39="","",'Project Income &amp; UA'!F39)</f>
        <v/>
      </c>
      <c r="D238" t="str">
        <f>IF('Project Income &amp; UA'!G39="","",'Project Income &amp; UA'!G39)</f>
        <v/>
      </c>
      <c r="E238" t="str">
        <f>IF('Project Income &amp; UA'!J39=0,"",'Project Income &amp; UA'!J39)</f>
        <v/>
      </c>
      <c r="G238" s="1198" t="str">
        <f t="shared" si="32"/>
        <v/>
      </c>
      <c r="H238" s="1300" t="str">
        <f>IF(C238="","",IF(LEN(Table11[[#This Row],[AMI]])&gt;3,LEFT(Table11[[#This Row],[AMI]],3),IF(Table11[[#This Row],[AMI]]="Mkt","",C238)))</f>
        <v/>
      </c>
      <c r="I238" t="str">
        <f t="shared" si="33"/>
        <v/>
      </c>
      <c r="J238" t="str">
        <f t="shared" si="34"/>
        <v/>
      </c>
      <c r="L238" s="1198" t="str">
        <f t="shared" si="29"/>
        <v/>
      </c>
      <c r="M238" s="1250" t="str">
        <f>IF(C238="","",IF(LEN(Table11[[#This Row],[AMI]])&gt;3,LEFT(Table11[[#This Row],[AMI]],3),IF(Table11[[#This Row],[AMI]]="Mkt","Market",C238)))</f>
        <v/>
      </c>
      <c r="N238" t="str">
        <f t="shared" si="30"/>
        <v/>
      </c>
      <c r="O238" t="str">
        <f t="shared" si="31"/>
        <v/>
      </c>
    </row>
    <row r="239" spans="1:31" x14ac:dyDescent="0.25">
      <c r="A239" t="s">
        <v>1304</v>
      </c>
      <c r="B239" t="str">
        <f>IF('Project Income &amp; UA'!E40="","",'Project Income &amp; UA'!E40)</f>
        <v/>
      </c>
      <c r="C239" s="1250" t="str">
        <f>IF('Project Income &amp; UA'!F40="","",'Project Income &amp; UA'!F40)</f>
        <v/>
      </c>
      <c r="D239" t="str">
        <f>IF('Project Income &amp; UA'!G40="","",'Project Income &amp; UA'!G40)</f>
        <v/>
      </c>
      <c r="E239" t="str">
        <f>IF('Project Income &amp; UA'!J40=0,"",'Project Income &amp; UA'!J40)</f>
        <v/>
      </c>
      <c r="G239" s="1198" t="str">
        <f t="shared" si="32"/>
        <v/>
      </c>
      <c r="H239" s="1300" t="str">
        <f>IF(C239="","",IF(LEN(Table11[[#This Row],[AMI]])&gt;3,LEFT(Table11[[#This Row],[AMI]],3),IF(Table11[[#This Row],[AMI]]="Mkt","",C239)))</f>
        <v/>
      </c>
      <c r="I239" t="str">
        <f t="shared" si="33"/>
        <v/>
      </c>
      <c r="J239" t="str">
        <f t="shared" si="34"/>
        <v/>
      </c>
      <c r="L239" s="1198" t="str">
        <f t="shared" si="29"/>
        <v/>
      </c>
      <c r="M239" s="1250" t="str">
        <f>IF(C239="","",IF(LEN(Table11[[#This Row],[AMI]])&gt;3,LEFT(Table11[[#This Row],[AMI]],3),IF(Table11[[#This Row],[AMI]]="Mkt","Market",C239)))</f>
        <v/>
      </c>
      <c r="N239" t="str">
        <f t="shared" si="30"/>
        <v/>
      </c>
      <c r="O239" t="str">
        <f t="shared" si="31"/>
        <v/>
      </c>
    </row>
    <row r="240" spans="1:31" x14ac:dyDescent="0.25">
      <c r="A240" t="s">
        <v>1304</v>
      </c>
      <c r="B240" t="str">
        <f>IF('Project Income &amp; UA'!E41="","",'Project Income &amp; UA'!E41)</f>
        <v/>
      </c>
      <c r="C240" s="1250" t="str">
        <f>IF('Project Income &amp; UA'!F41="","",'Project Income &amp; UA'!F41)</f>
        <v/>
      </c>
      <c r="D240" t="str">
        <f>IF('Project Income &amp; UA'!G41="","",'Project Income &amp; UA'!G41)</f>
        <v/>
      </c>
      <c r="E240" t="str">
        <f>IF('Project Income &amp; UA'!J41=0,"",'Project Income &amp; UA'!J41)</f>
        <v/>
      </c>
      <c r="G240" s="1198" t="str">
        <f t="shared" si="32"/>
        <v/>
      </c>
      <c r="H240" s="1300" t="str">
        <f>IF(C240="","",IF(LEN(Table11[[#This Row],[AMI]])&gt;3,LEFT(Table11[[#This Row],[AMI]],3),IF(Table11[[#This Row],[AMI]]="Mkt","",C240)))</f>
        <v/>
      </c>
      <c r="I240" t="str">
        <f t="shared" si="33"/>
        <v/>
      </c>
      <c r="J240" t="str">
        <f t="shared" si="34"/>
        <v/>
      </c>
      <c r="L240" s="1198" t="str">
        <f>IF(B240=0,"Efficiency",IF(B240=1,"1 Bedroom",IF(B240=2,"2 Bedroom",IF(B240=3,"3 Bedroom",IF(B240=4,"4 Bedroom",IF(B240=5,"5 Bedroom",IF(B240=6,"6 Bedroom","")))))))</f>
        <v/>
      </c>
      <c r="M240" s="1250" t="str">
        <f>IF(C240="","",IF(LEN(Table11[[#This Row],[AMI]])&gt;3,LEFT(Table11[[#This Row],[AMI]],3),IF(Table11[[#This Row],[AMI]]="Mkt","Market",C240)))</f>
        <v/>
      </c>
      <c r="N240" t="str">
        <f t="shared" si="30"/>
        <v/>
      </c>
      <c r="O240" t="str">
        <f t="shared" si="31"/>
        <v/>
      </c>
    </row>
    <row r="241" spans="1:15" x14ac:dyDescent="0.25">
      <c r="A241" t="s">
        <v>1304</v>
      </c>
      <c r="B241" t="str">
        <f>IF('Project Income &amp; UA'!E42="","",'Project Income &amp; UA'!E42)</f>
        <v/>
      </c>
      <c r="C241" s="1250" t="str">
        <f>IF('Project Income &amp; UA'!F42="","",'Project Income &amp; UA'!F42)</f>
        <v/>
      </c>
      <c r="D241" t="str">
        <f>IF('Project Income &amp; UA'!G42="","",'Project Income &amp; UA'!G42)</f>
        <v/>
      </c>
      <c r="E241" t="str">
        <f>IF('Project Income &amp; UA'!J42=0,"",'Project Income &amp; UA'!J42)</f>
        <v/>
      </c>
      <c r="G241" s="1198" t="str">
        <f t="shared" si="32"/>
        <v/>
      </c>
      <c r="H241" s="1300" t="str">
        <f>IF(C241="","",IF(LEN(Table11[[#This Row],[AMI]])&gt;3,LEFT(Table11[[#This Row],[AMI]],3),IF(Table11[[#This Row],[AMI]]="Mkt","",C241)))</f>
        <v/>
      </c>
      <c r="I241" t="str">
        <f t="shared" si="33"/>
        <v/>
      </c>
      <c r="J241" t="str">
        <f t="shared" si="34"/>
        <v/>
      </c>
      <c r="L241" s="1198" t="str">
        <f t="shared" si="29"/>
        <v/>
      </c>
      <c r="M241" s="1250" t="str">
        <f>IF(C241="","",IF(LEN(Table11[[#This Row],[AMI]])&gt;3,LEFT(Table11[[#This Row],[AMI]],3),IF(Table11[[#This Row],[AMI]]="Mkt","Market",C241)))</f>
        <v/>
      </c>
      <c r="N241" t="str">
        <f t="shared" si="30"/>
        <v/>
      </c>
      <c r="O241" t="str">
        <f t="shared" si="31"/>
        <v/>
      </c>
    </row>
    <row r="242" spans="1:15" x14ac:dyDescent="0.25">
      <c r="A242" t="s">
        <v>1304</v>
      </c>
      <c r="B242" t="str">
        <f>IF('Project Income &amp; UA'!E43="","",'Project Income &amp; UA'!E43)</f>
        <v/>
      </c>
      <c r="C242" s="1250" t="str">
        <f>IF('Project Income &amp; UA'!F43="","",'Project Income &amp; UA'!F43)</f>
        <v/>
      </c>
      <c r="D242" t="str">
        <f>IF('Project Income &amp; UA'!G43="","",'Project Income &amp; UA'!G43)</f>
        <v/>
      </c>
      <c r="E242" t="str">
        <f>IF('Project Income &amp; UA'!J43=0,"",'Project Income &amp; UA'!J43)</f>
        <v/>
      </c>
      <c r="G242" s="1198" t="str">
        <f t="shared" si="32"/>
        <v/>
      </c>
      <c r="H242" s="1300" t="str">
        <f>IF(C242="","",IF(LEN(Table11[[#This Row],[AMI]])&gt;3,LEFT(Table11[[#This Row],[AMI]],3),IF(Table11[[#This Row],[AMI]]="Mkt","",C242)))</f>
        <v/>
      </c>
      <c r="I242" t="str">
        <f t="shared" si="33"/>
        <v/>
      </c>
      <c r="J242" t="str">
        <f t="shared" si="34"/>
        <v/>
      </c>
      <c r="L242" s="1198" t="str">
        <f t="shared" si="29"/>
        <v/>
      </c>
      <c r="M242" s="1250" t="str">
        <f>IF(C242="","",IF(LEN(Table11[[#This Row],[AMI]])&gt;3,LEFT(Table11[[#This Row],[AMI]],3),IF(Table11[[#This Row],[AMI]]="Mkt","Market",C242)))</f>
        <v/>
      </c>
      <c r="N242" t="str">
        <f t="shared" si="30"/>
        <v/>
      </c>
      <c r="O242" t="str">
        <f t="shared" si="31"/>
        <v/>
      </c>
    </row>
    <row r="243" spans="1:15" x14ac:dyDescent="0.25">
      <c r="A243" t="s">
        <v>1304</v>
      </c>
      <c r="B243" t="str">
        <f>IF('Project Income &amp; UA'!E44="","",'Project Income &amp; UA'!E44)</f>
        <v/>
      </c>
      <c r="C243" s="1250" t="str">
        <f>IF('Project Income &amp; UA'!F44="","",'Project Income &amp; UA'!F44)</f>
        <v/>
      </c>
      <c r="D243" t="str">
        <f>IF('Project Income &amp; UA'!G44="","",'Project Income &amp; UA'!G44)</f>
        <v/>
      </c>
      <c r="E243" t="str">
        <f>IF('Project Income &amp; UA'!J44=0,"",'Project Income &amp; UA'!J44)</f>
        <v/>
      </c>
      <c r="G243" s="1198" t="str">
        <f t="shared" si="32"/>
        <v/>
      </c>
      <c r="H243" s="1300" t="str">
        <f>IF(C243="","",IF(LEN(Table11[[#This Row],[AMI]])&gt;3,LEFT(Table11[[#This Row],[AMI]],3),IF(Table11[[#This Row],[AMI]]="Mkt","",C243)))</f>
        <v/>
      </c>
      <c r="I243" t="str">
        <f t="shared" si="33"/>
        <v/>
      </c>
      <c r="J243" t="str">
        <f t="shared" si="34"/>
        <v/>
      </c>
      <c r="L243" s="1198" t="str">
        <f t="shared" si="29"/>
        <v/>
      </c>
      <c r="M243" s="1250" t="str">
        <f>IF(C243="","",IF(LEN(Table11[[#This Row],[AMI]])&gt;3,LEFT(Table11[[#This Row],[AMI]],3),IF(Table11[[#This Row],[AMI]]="Mkt","Market",C243)))</f>
        <v/>
      </c>
      <c r="N243" t="str">
        <f t="shared" si="30"/>
        <v/>
      </c>
      <c r="O243" t="str">
        <f t="shared" si="31"/>
        <v/>
      </c>
    </row>
    <row r="244" spans="1:15" x14ac:dyDescent="0.25">
      <c r="A244" t="s">
        <v>1304</v>
      </c>
      <c r="B244" t="str">
        <f>IF('Project Income &amp; UA'!E45="","",'Project Income &amp; UA'!E45)</f>
        <v/>
      </c>
      <c r="C244" s="1250" t="str">
        <f>IF('Project Income &amp; UA'!F45="","",'Project Income &amp; UA'!F45)</f>
        <v/>
      </c>
      <c r="D244" t="str">
        <f>IF('Project Income &amp; UA'!G45="","",'Project Income &amp; UA'!G45)</f>
        <v/>
      </c>
      <c r="E244" t="str">
        <f>IF('Project Income &amp; UA'!J45=0,"",'Project Income &amp; UA'!J45)</f>
        <v/>
      </c>
      <c r="G244" s="1198" t="str">
        <f t="shared" si="32"/>
        <v/>
      </c>
      <c r="H244" s="1300" t="str">
        <f>IF(C244="","",IF(LEN(Table11[[#This Row],[AMI]])&gt;3,LEFT(Table11[[#This Row],[AMI]],3),IF(Table11[[#This Row],[AMI]]="Mkt","",C244)))</f>
        <v/>
      </c>
      <c r="I244" t="str">
        <f t="shared" si="33"/>
        <v/>
      </c>
      <c r="J244" t="str">
        <f t="shared" si="34"/>
        <v/>
      </c>
      <c r="L244" s="1198" t="str">
        <f t="shared" si="29"/>
        <v/>
      </c>
      <c r="M244" s="1250" t="str">
        <f>IF(C244="","",IF(LEN(Table11[[#This Row],[AMI]])&gt;3,LEFT(Table11[[#This Row],[AMI]],3),IF(Table11[[#This Row],[AMI]]="Mkt","Market",C244)))</f>
        <v/>
      </c>
      <c r="N244" t="str">
        <f t="shared" si="30"/>
        <v/>
      </c>
      <c r="O244" t="str">
        <f t="shared" si="31"/>
        <v/>
      </c>
    </row>
    <row r="245" spans="1:15" x14ac:dyDescent="0.25">
      <c r="A245" t="s">
        <v>1304</v>
      </c>
      <c r="B245" t="str">
        <f>IF('Project Income &amp; UA'!E46="","",'Project Income &amp; UA'!E46)</f>
        <v/>
      </c>
      <c r="C245" s="1250" t="str">
        <f>IF('Project Income &amp; UA'!F46="","",'Project Income &amp; UA'!F46)</f>
        <v/>
      </c>
      <c r="D245" t="str">
        <f>IF('Project Income &amp; UA'!G46="","",'Project Income &amp; UA'!G46)</f>
        <v/>
      </c>
      <c r="E245" t="str">
        <f>IF('Project Income &amp; UA'!J46=0,"",'Project Income &amp; UA'!J46)</f>
        <v/>
      </c>
      <c r="G245" s="1198" t="str">
        <f t="shared" si="32"/>
        <v/>
      </c>
      <c r="H245" s="1300" t="str">
        <f>IF(C245="","",IF(LEN(Table11[[#This Row],[AMI]])&gt;3,LEFT(Table11[[#This Row],[AMI]],3),IF(Table11[[#This Row],[AMI]]="Mkt","",C245)))</f>
        <v/>
      </c>
      <c r="I245" t="str">
        <f t="shared" si="33"/>
        <v/>
      </c>
      <c r="J245" t="str">
        <f t="shared" si="34"/>
        <v/>
      </c>
      <c r="L245" s="1198" t="str">
        <f t="shared" si="29"/>
        <v/>
      </c>
      <c r="M245" s="1250" t="str">
        <f>IF(C245="","",IF(LEN(Table11[[#This Row],[AMI]])&gt;3,LEFT(Table11[[#This Row],[AMI]],3),IF(Table11[[#This Row],[AMI]]="Mkt","Market",C245)))</f>
        <v/>
      </c>
      <c r="N245" t="str">
        <f t="shared" si="30"/>
        <v/>
      </c>
      <c r="O245" t="str">
        <f t="shared" si="31"/>
        <v/>
      </c>
    </row>
    <row r="246" spans="1:15" x14ac:dyDescent="0.25">
      <c r="A246" t="s">
        <v>1304</v>
      </c>
      <c r="B246" t="str">
        <f>IF('Project Income &amp; UA'!E47="","",'Project Income &amp; UA'!E47)</f>
        <v/>
      </c>
      <c r="C246" s="1250" t="str">
        <f>IF('Project Income &amp; UA'!F47="","",'Project Income &amp; UA'!F47)</f>
        <v/>
      </c>
      <c r="D246" t="str">
        <f>IF('Project Income &amp; UA'!G47="","",'Project Income &amp; UA'!G47)</f>
        <v/>
      </c>
      <c r="E246" t="str">
        <f>IF('Project Income &amp; UA'!J47=0,"",'Project Income &amp; UA'!J47)</f>
        <v/>
      </c>
      <c r="G246" s="1198" t="str">
        <f>IF(B246=0,"Efficiency",IF(B246=1,"1BR, 1BA",IF(B246=2,"2BR, 1BA",IF(B246=3,"3BR, 1BA",IF(B246=4,"4BR, 1BA",IF(B246=5,"5BR, 1BA",IF(B246=6,"6BR or More","")))))))</f>
        <v/>
      </c>
      <c r="H246" s="1300" t="str">
        <f>IF(C246="","",IF(LEN(Table11[[#This Row],[AMI]])&gt;3,LEFT(Table11[[#This Row],[AMI]],3),IF(Table11[[#This Row],[AMI]]="Mkt","",C246)))</f>
        <v/>
      </c>
      <c r="I246" t="str">
        <f t="shared" si="33"/>
        <v/>
      </c>
      <c r="J246" t="str">
        <f t="shared" si="34"/>
        <v/>
      </c>
      <c r="L246" s="1198" t="str">
        <f t="shared" si="29"/>
        <v/>
      </c>
      <c r="M246" s="1250" t="str">
        <f>IF(C246="","",IF(LEN(Table11[[#This Row],[AMI]])&gt;3,LEFT(Table11[[#This Row],[AMI]],3),IF(Table11[[#This Row],[AMI]]="Mkt","Market",C246)))</f>
        <v/>
      </c>
      <c r="N246" t="str">
        <f t="shared" si="30"/>
        <v/>
      </c>
      <c r="O246" t="str">
        <f t="shared" si="31"/>
        <v/>
      </c>
    </row>
    <row r="247" spans="1:15" x14ac:dyDescent="0.25">
      <c r="A247" t="s">
        <v>1304</v>
      </c>
      <c r="B247" t="str">
        <f>IF('Project Income &amp; UA'!E48="","",'Project Income &amp; UA'!E48)</f>
        <v/>
      </c>
      <c r="C247" s="1250" t="str">
        <f>IF('Project Income &amp; UA'!F48="","",'Project Income &amp; UA'!F48)</f>
        <v/>
      </c>
      <c r="D247" t="str">
        <f>IF('Project Income &amp; UA'!G48="","",'Project Income &amp; UA'!G48)</f>
        <v/>
      </c>
      <c r="E247" t="str">
        <f>IF('Project Income &amp; UA'!J48=0,"",'Project Income &amp; UA'!J48)</f>
        <v/>
      </c>
      <c r="G247" s="1198" t="str">
        <f t="shared" si="32"/>
        <v/>
      </c>
      <c r="H247" s="1300" t="str">
        <f>IF(C247="","",IF(LEN(Table11[[#This Row],[AMI]])&gt;3,LEFT(Table11[[#This Row],[AMI]],3),IF(Table11[[#This Row],[AMI]]="Mkt","",C247)))</f>
        <v/>
      </c>
      <c r="I247" t="str">
        <f t="shared" si="33"/>
        <v/>
      </c>
      <c r="J247" t="str">
        <f t="shared" si="34"/>
        <v/>
      </c>
      <c r="L247" s="1198" t="str">
        <f t="shared" si="29"/>
        <v/>
      </c>
      <c r="M247" s="1250" t="str">
        <f>IF(C247="","",IF(LEN(Table11[[#This Row],[AMI]])&gt;3,LEFT(Table11[[#This Row],[AMI]],3),IF(Table11[[#This Row],[AMI]]="Mkt","Market",C247)))</f>
        <v/>
      </c>
      <c r="N247" t="str">
        <f t="shared" si="30"/>
        <v/>
      </c>
      <c r="O247" t="str">
        <f t="shared" si="31"/>
        <v/>
      </c>
    </row>
    <row r="248" spans="1:15" x14ac:dyDescent="0.25">
      <c r="A248" t="s">
        <v>1304</v>
      </c>
      <c r="B248" t="str">
        <f>IF('Project Income &amp; UA'!E49="","",'Project Income &amp; UA'!E49)</f>
        <v/>
      </c>
      <c r="C248" s="1250" t="str">
        <f>IF('Project Income &amp; UA'!F49="","",'Project Income &amp; UA'!F49)</f>
        <v/>
      </c>
      <c r="D248" t="str">
        <f>IF('Project Income &amp; UA'!G49="","",'Project Income &amp; UA'!G49)</f>
        <v/>
      </c>
      <c r="E248" t="str">
        <f>IF('Project Income &amp; UA'!J49=0,"",'Project Income &amp; UA'!J49)</f>
        <v/>
      </c>
      <c r="G248" s="1198" t="str">
        <f t="shared" si="32"/>
        <v/>
      </c>
      <c r="H248" s="1300" t="str">
        <f>IF(C248="","",IF(LEN(Table11[[#This Row],[AMI]])&gt;3,LEFT(Table11[[#This Row],[AMI]],3),IF(Table11[[#This Row],[AMI]]="Mkt","",C248)))</f>
        <v/>
      </c>
      <c r="I248" t="str">
        <f t="shared" si="33"/>
        <v/>
      </c>
      <c r="J248" t="str">
        <f t="shared" si="34"/>
        <v/>
      </c>
      <c r="L248" s="1198" t="str">
        <f t="shared" si="29"/>
        <v/>
      </c>
      <c r="M248" s="1250" t="str">
        <f>IF(C248="","",IF(LEN(Table11[[#This Row],[AMI]])&gt;3,LEFT(Table11[[#This Row],[AMI]],3),IF(Table11[[#This Row],[AMI]]="Mkt","Market",C248)))</f>
        <v/>
      </c>
      <c r="N248" t="str">
        <f t="shared" si="30"/>
        <v/>
      </c>
      <c r="O248" t="str">
        <f t="shared" si="31"/>
        <v/>
      </c>
    </row>
    <row r="249" spans="1:15" x14ac:dyDescent="0.25">
      <c r="A249" t="s">
        <v>1304</v>
      </c>
      <c r="B249" t="str">
        <f>IF('Project Income &amp; UA'!E50="","",'Project Income &amp; UA'!E50)</f>
        <v/>
      </c>
      <c r="C249" s="1250" t="str">
        <f>IF('Project Income &amp; UA'!F50="","",'Project Income &amp; UA'!F50)</f>
        <v/>
      </c>
      <c r="D249" t="str">
        <f>IF('Project Income &amp; UA'!G50="","",'Project Income &amp; UA'!G50)</f>
        <v/>
      </c>
      <c r="E249" t="str">
        <f>IF('Project Income &amp; UA'!J50=0,"",'Project Income &amp; UA'!J50)</f>
        <v/>
      </c>
      <c r="G249" s="1198" t="str">
        <f t="shared" si="32"/>
        <v/>
      </c>
      <c r="H249" s="1300" t="str">
        <f>IF(C249="","",IF(LEN(Table11[[#This Row],[AMI]])&gt;3,LEFT(Table11[[#This Row],[AMI]],3),IF(Table11[[#This Row],[AMI]]="Mkt","",C249)))</f>
        <v/>
      </c>
      <c r="I249" t="str">
        <f t="shared" si="33"/>
        <v/>
      </c>
      <c r="J249" t="str">
        <f t="shared" si="34"/>
        <v/>
      </c>
      <c r="L249" s="1198" t="str">
        <f t="shared" si="29"/>
        <v/>
      </c>
      <c r="M249" s="1250" t="str">
        <f>IF(C249="","",IF(LEN(Table11[[#This Row],[AMI]])&gt;3,LEFT(Table11[[#This Row],[AMI]],3),IF(Table11[[#This Row],[AMI]]="Mkt","Market",C249)))</f>
        <v/>
      </c>
      <c r="N249" t="str">
        <f t="shared" si="30"/>
        <v/>
      </c>
      <c r="O249" t="str">
        <f t="shared" si="31"/>
        <v/>
      </c>
    </row>
    <row r="250" spans="1:15" x14ac:dyDescent="0.25">
      <c r="A250" t="s">
        <v>1304</v>
      </c>
      <c r="B250" t="str">
        <f>IF('Project Income &amp; UA'!E51="","",'Project Income &amp; UA'!E51)</f>
        <v/>
      </c>
      <c r="C250" s="1250" t="str">
        <f>IF('Project Income &amp; UA'!F51="","",'Project Income &amp; UA'!F51)</f>
        <v/>
      </c>
      <c r="D250" t="str">
        <f>IF('Project Income &amp; UA'!G51="","",'Project Income &amp; UA'!G51)</f>
        <v/>
      </c>
      <c r="E250" t="str">
        <f>IF('Project Income &amp; UA'!J51=0,"",'Project Income &amp; UA'!J51)</f>
        <v/>
      </c>
      <c r="G250" s="1198" t="str">
        <f t="shared" si="32"/>
        <v/>
      </c>
      <c r="H250" s="1300" t="str">
        <f>IF(C250="","",IF(LEN(Table11[[#This Row],[AMI]])&gt;3,LEFT(Table11[[#This Row],[AMI]],3),IF(Table11[[#This Row],[AMI]]="Mkt","",C250)))</f>
        <v/>
      </c>
      <c r="I250" t="str">
        <f t="shared" si="33"/>
        <v/>
      </c>
      <c r="J250" t="str">
        <f t="shared" si="34"/>
        <v/>
      </c>
      <c r="L250" s="1198" t="str">
        <f t="shared" si="29"/>
        <v/>
      </c>
      <c r="M250" s="1250" t="str">
        <f>IF(C250="","",IF(LEN(Table11[[#This Row],[AMI]])&gt;3,LEFT(Table11[[#This Row],[AMI]],3),IF(Table11[[#This Row],[AMI]]="Mkt","Market",C250)))</f>
        <v/>
      </c>
      <c r="N250" t="str">
        <f t="shared" si="30"/>
        <v/>
      </c>
      <c r="O250" t="str">
        <f t="shared" si="31"/>
        <v/>
      </c>
    </row>
    <row r="251" spans="1:15" x14ac:dyDescent="0.25">
      <c r="A251" t="s">
        <v>1304</v>
      </c>
      <c r="B251" t="str">
        <f>IF('Project Income &amp; UA'!E52="","",'Project Income &amp; UA'!E52)</f>
        <v/>
      </c>
      <c r="C251" s="1250" t="str">
        <f>IF('Project Income &amp; UA'!F52="","",'Project Income &amp; UA'!F52)</f>
        <v/>
      </c>
      <c r="D251" t="str">
        <f>IF('Project Income &amp; UA'!G52="","",'Project Income &amp; UA'!G52)</f>
        <v/>
      </c>
      <c r="E251" t="str">
        <f>IF('Project Income &amp; UA'!J52=0,"",'Project Income &amp; UA'!J52)</f>
        <v/>
      </c>
      <c r="G251" s="1198" t="str">
        <f t="shared" si="32"/>
        <v/>
      </c>
      <c r="H251" s="1300" t="str">
        <f>IF(C251="","",IF(LEN(Table11[[#This Row],[AMI]])&gt;3,LEFT(Table11[[#This Row],[AMI]],3),IF(Table11[[#This Row],[AMI]]="Mkt","",C251)))</f>
        <v/>
      </c>
      <c r="I251" t="str">
        <f t="shared" si="33"/>
        <v/>
      </c>
      <c r="J251" t="str">
        <f t="shared" si="34"/>
        <v/>
      </c>
      <c r="L251" s="1198" t="str">
        <f t="shared" si="29"/>
        <v/>
      </c>
      <c r="M251" s="1250" t="str">
        <f>IF(C251="","",IF(LEN(Table11[[#This Row],[AMI]])&gt;3,LEFT(Table11[[#This Row],[AMI]],3),IF(Table11[[#This Row],[AMI]]="Mkt","Market",C251)))</f>
        <v/>
      </c>
      <c r="N251" t="str">
        <f t="shared" si="30"/>
        <v/>
      </c>
      <c r="O251" t="str">
        <f t="shared" si="31"/>
        <v/>
      </c>
    </row>
    <row r="252" spans="1:15" x14ac:dyDescent="0.25">
      <c r="A252" t="s">
        <v>1304</v>
      </c>
      <c r="B252" t="str">
        <f>IF('Project Income &amp; UA'!E53="","",'Project Income &amp; UA'!E53)</f>
        <v/>
      </c>
      <c r="C252" s="1250" t="str">
        <f>IF('Project Income &amp; UA'!F53="","",'Project Income &amp; UA'!F53)</f>
        <v/>
      </c>
      <c r="D252" t="str">
        <f>IF('Project Income &amp; UA'!G53="","",'Project Income &amp; UA'!G53)</f>
        <v/>
      </c>
      <c r="E252" t="str">
        <f>IF('Project Income &amp; UA'!J53=0,"",'Project Income &amp; UA'!J53)</f>
        <v/>
      </c>
      <c r="G252" s="1198" t="str">
        <f t="shared" si="32"/>
        <v/>
      </c>
      <c r="H252" s="1300" t="str">
        <f>IF(C252="","",IF(LEN(Table11[[#This Row],[AMI]])&gt;3,LEFT(Table11[[#This Row],[AMI]],3),IF(Table11[[#This Row],[AMI]]="Mkt","",C252)))</f>
        <v/>
      </c>
      <c r="I252" t="str">
        <f t="shared" si="33"/>
        <v/>
      </c>
      <c r="J252" t="str">
        <f t="shared" si="34"/>
        <v/>
      </c>
      <c r="L252" s="1198" t="str">
        <f t="shared" si="29"/>
        <v/>
      </c>
      <c r="M252" s="1250" t="str">
        <f>IF(C252="","",IF(LEN(Table11[[#This Row],[AMI]])&gt;3,LEFT(Table11[[#This Row],[AMI]],3),IF(Table11[[#This Row],[AMI]]="Mkt","Market",C252)))</f>
        <v/>
      </c>
      <c r="N252" t="str">
        <f t="shared" si="30"/>
        <v/>
      </c>
      <c r="O252" t="str">
        <f t="shared" si="31"/>
        <v/>
      </c>
    </row>
    <row r="253" spans="1:15" x14ac:dyDescent="0.25">
      <c r="A253" t="s">
        <v>1304</v>
      </c>
      <c r="B253" t="str">
        <f>IF('Project Income &amp; UA'!E54="","",'Project Income &amp; UA'!E54)</f>
        <v/>
      </c>
      <c r="C253" s="1250" t="str">
        <f>IF('Project Income &amp; UA'!F54="","",'Project Income &amp; UA'!F54)</f>
        <v/>
      </c>
      <c r="D253" t="str">
        <f>IF('Project Income &amp; UA'!G54="","",'Project Income &amp; UA'!G54)</f>
        <v/>
      </c>
      <c r="E253" t="str">
        <f>IF('Project Income &amp; UA'!J54=0,"",'Project Income &amp; UA'!J54)</f>
        <v/>
      </c>
      <c r="G253" s="1198" t="str">
        <f t="shared" si="32"/>
        <v/>
      </c>
      <c r="H253" s="1300" t="str">
        <f>IF(C253="","",IF(LEN(Table11[[#This Row],[AMI]])&gt;3,LEFT(Table11[[#This Row],[AMI]],3),IF(Table11[[#This Row],[AMI]]="Mkt","",C253)))</f>
        <v/>
      </c>
      <c r="I253" t="str">
        <f t="shared" si="33"/>
        <v/>
      </c>
      <c r="J253" t="str">
        <f t="shared" si="34"/>
        <v/>
      </c>
      <c r="L253" s="1198" t="str">
        <f t="shared" si="29"/>
        <v/>
      </c>
      <c r="M253" s="1250" t="str">
        <f>IF(C253="","",IF(LEN(Table11[[#This Row],[AMI]])&gt;3,LEFT(Table11[[#This Row],[AMI]],3),IF(Table11[[#This Row],[AMI]]="Mkt","Market",C253)))</f>
        <v/>
      </c>
      <c r="N253" t="str">
        <f t="shared" si="30"/>
        <v/>
      </c>
      <c r="O253" t="str">
        <f t="shared" si="31"/>
        <v/>
      </c>
    </row>
    <row r="254" spans="1:15" x14ac:dyDescent="0.25">
      <c r="A254" t="s">
        <v>1304</v>
      </c>
      <c r="B254" t="str">
        <f>IF('Project Income &amp; UA'!E55="","",'Project Income &amp; UA'!E55)</f>
        <v/>
      </c>
      <c r="C254" s="1250" t="str">
        <f>IF('Project Income &amp; UA'!F55="","",'Project Income &amp; UA'!F55)</f>
        <v/>
      </c>
      <c r="D254" t="str">
        <f>IF('Project Income &amp; UA'!G55="","",'Project Income &amp; UA'!G55)</f>
        <v/>
      </c>
      <c r="E254" t="str">
        <f>IF('Project Income &amp; UA'!J55=0,"",'Project Income &amp; UA'!J55)</f>
        <v/>
      </c>
      <c r="G254" s="1198" t="str">
        <f t="shared" si="32"/>
        <v/>
      </c>
      <c r="H254" s="1301" t="str">
        <f>IF(C254="","",IF(LEN(Table11[[#This Row],[AMI]])&gt;3,LEFT(Table11[[#This Row],[AMI]],3),IF(Table11[[#This Row],[AMI]]="Mkt","",C254)))</f>
        <v/>
      </c>
      <c r="I254" s="1199" t="str">
        <f t="shared" si="33"/>
        <v/>
      </c>
      <c r="J254" s="1199" t="str">
        <f t="shared" si="34"/>
        <v/>
      </c>
      <c r="L254" s="1198" t="str">
        <f t="shared" si="29"/>
        <v/>
      </c>
      <c r="M254" s="1301" t="str">
        <f>IF(C254="","",IF(LEN(Table11[[#This Row],[AMI]])&gt;3,LEFT(Table11[[#This Row],[AMI]],3),IF(Table11[[#This Row],[AMI]]="Mkt","Market",C254)))</f>
        <v/>
      </c>
      <c r="N254" s="1199" t="str">
        <f t="shared" si="30"/>
        <v/>
      </c>
      <c r="O254" s="1199" t="str">
        <f t="shared" si="31"/>
        <v/>
      </c>
    </row>
    <row r="255" spans="1:15" x14ac:dyDescent="0.25">
      <c r="G255" t="s">
        <v>278</v>
      </c>
      <c r="H255" s="1302"/>
      <c r="I255">
        <f>SUBTOTAL(109,Table13[Num Units])</f>
        <v>0</v>
      </c>
      <c r="M255" s="1304"/>
      <c r="N255">
        <f>SUM(Table14[TC Num Units])</f>
        <v>0</v>
      </c>
    </row>
    <row r="258" spans="1:31" ht="18" x14ac:dyDescent="0.35">
      <c r="A258" s="1224" t="s">
        <v>1666</v>
      </c>
      <c r="B258" s="1224" t="s">
        <v>1652</v>
      </c>
      <c r="C258" s="1224" t="s">
        <v>1655</v>
      </c>
      <c r="D258" s="1196"/>
      <c r="G258" s="1225" t="s">
        <v>1617</v>
      </c>
      <c r="H258" s="1225" t="s">
        <v>1661</v>
      </c>
      <c r="I258" s="1227"/>
      <c r="J258" s="1227"/>
      <c r="L258" s="1226" t="s">
        <v>1662</v>
      </c>
      <c r="M258" s="1226"/>
      <c r="N258" s="1226"/>
      <c r="T258" s="1197"/>
      <c r="AA258" s="1197"/>
      <c r="AB258" s="1197"/>
      <c r="AC258" s="1197"/>
      <c r="AD258" s="1197"/>
      <c r="AE258" s="1197"/>
    </row>
    <row r="259" spans="1:31" s="1197" customFormat="1" x14ac:dyDescent="0.25">
      <c r="A259" s="1197" t="s">
        <v>1178</v>
      </c>
      <c r="B259" s="1197" t="s">
        <v>1229</v>
      </c>
      <c r="C259" s="1197" t="s">
        <v>1659</v>
      </c>
      <c r="D259" s="1197" t="s">
        <v>1660</v>
      </c>
      <c r="G259" s="1197" t="s">
        <v>277</v>
      </c>
      <c r="H259" s="1197" t="s">
        <v>1378</v>
      </c>
      <c r="L259" s="1197" t="s">
        <v>1251</v>
      </c>
      <c r="M259" s="1197" t="s">
        <v>1248</v>
      </c>
      <c r="N259" s="1197" t="s">
        <v>1591</v>
      </c>
      <c r="T259" s="1216"/>
      <c r="AA259" s="1216"/>
      <c r="AB259" s="1216"/>
      <c r="AC259" s="1216"/>
      <c r="AD259" s="1216"/>
      <c r="AE259" s="1216"/>
    </row>
    <row r="260" spans="1:31" s="1216" customFormat="1" x14ac:dyDescent="0.25">
      <c r="A260" s="1216" t="s">
        <v>1185</v>
      </c>
      <c r="B260" s="1216" t="s">
        <v>267</v>
      </c>
      <c r="C260" s="1216" t="str">
        <f>IF('MH Underwriting'!M189=0,"",'MH Underwriting'!M189)</f>
        <v/>
      </c>
      <c r="D260" s="1216" t="str">
        <f>IF('MH Underwriting'!M189=0,"",'MH Underwriting'!M189/'MH Underwriting'!G5)</f>
        <v/>
      </c>
      <c r="G260" s="1216" t="str">
        <f>IF(C260="","",C260)</f>
        <v/>
      </c>
      <c r="H260" s="1216" t="str">
        <f>IF(D260="","",D260)</f>
        <v/>
      </c>
      <c r="L260" t="s">
        <v>1402</v>
      </c>
      <c r="M260" s="1216" t="str">
        <f>IF(G260="","",G260)</f>
        <v/>
      </c>
      <c r="T260"/>
      <c r="AA260"/>
      <c r="AB260"/>
      <c r="AC260"/>
      <c r="AD260"/>
      <c r="AE260"/>
    </row>
    <row r="261" spans="1:31" x14ac:dyDescent="0.25">
      <c r="A261" s="1237" t="s">
        <v>1185</v>
      </c>
      <c r="B261" s="1237" t="s">
        <v>303</v>
      </c>
      <c r="C261" s="1237"/>
      <c r="D261" s="1237"/>
      <c r="L261" s="1236"/>
      <c r="M261" s="1236"/>
      <c r="N261" s="1236"/>
    </row>
    <row r="262" spans="1:31" x14ac:dyDescent="0.25">
      <c r="A262" t="s">
        <v>1185</v>
      </c>
      <c r="B262" s="1234" t="s">
        <v>1355</v>
      </c>
      <c r="C262" t="str">
        <f>IF('MH Underwriting'!U154=0,"",'MH Underwriting'!U154)</f>
        <v/>
      </c>
      <c r="D262" t="str">
        <f>IF('MH Underwriting'!V154=0,"",'MH Underwriting'!V154)</f>
        <v/>
      </c>
      <c r="L262" t="s">
        <v>1379</v>
      </c>
      <c r="M262" t="str">
        <f t="shared" ref="M262:M267" si="35">IF(C262="","",C262)</f>
        <v/>
      </c>
    </row>
    <row r="263" spans="1:31" x14ac:dyDescent="0.25">
      <c r="A263" t="s">
        <v>1185</v>
      </c>
      <c r="B263" s="1234" t="s">
        <v>1654</v>
      </c>
      <c r="C263" t="str">
        <f>IF('MH Underwriting'!U155=0,"",'MH Underwriting'!U155)</f>
        <v/>
      </c>
      <c r="D263" t="str">
        <f>IF('MH Underwriting'!V155=0,"",'MH Underwriting'!V155)</f>
        <v/>
      </c>
      <c r="L263" t="s">
        <v>1588</v>
      </c>
      <c r="M263" t="str">
        <f t="shared" si="35"/>
        <v/>
      </c>
    </row>
    <row r="264" spans="1:31" x14ac:dyDescent="0.25">
      <c r="A264" t="s">
        <v>1185</v>
      </c>
      <c r="B264" s="1234" t="s">
        <v>1357</v>
      </c>
      <c r="C264" t="str">
        <f>IF('MH Underwriting'!U156=0,"",'MH Underwriting'!U156)</f>
        <v/>
      </c>
      <c r="D264" t="str">
        <f>IF('MH Underwriting'!V156=0,"",'MH Underwriting'!V156)</f>
        <v/>
      </c>
      <c r="L264" t="s">
        <v>1380</v>
      </c>
      <c r="M264" t="str">
        <f t="shared" si="35"/>
        <v/>
      </c>
    </row>
    <row r="265" spans="1:31" x14ac:dyDescent="0.25">
      <c r="A265" t="s">
        <v>1185</v>
      </c>
      <c r="B265" s="1234" t="s">
        <v>1358</v>
      </c>
      <c r="C265" t="str">
        <f>IF('MH Underwriting'!U157=0,"",'MH Underwriting'!U157)</f>
        <v/>
      </c>
      <c r="D265" t="str">
        <f>IF('MH Underwriting'!V157=0,"",'MH Underwriting'!V157)</f>
        <v/>
      </c>
      <c r="L265" t="s">
        <v>1381</v>
      </c>
      <c r="M265" t="str">
        <f t="shared" si="35"/>
        <v/>
      </c>
    </row>
    <row r="266" spans="1:31" x14ac:dyDescent="0.25">
      <c r="A266" t="s">
        <v>1185</v>
      </c>
      <c r="B266" s="1234" t="s">
        <v>1359</v>
      </c>
      <c r="C266" t="str">
        <f>IF('MH Underwriting'!U158=0,"",'MH Underwriting'!U158)</f>
        <v/>
      </c>
      <c r="D266" t="str">
        <f>IF('MH Underwriting'!V158=0,"",'MH Underwriting'!V158)</f>
        <v/>
      </c>
      <c r="L266" t="s">
        <v>1382</v>
      </c>
      <c r="M266" t="str">
        <f t="shared" si="35"/>
        <v/>
      </c>
    </row>
    <row r="267" spans="1:31" x14ac:dyDescent="0.25">
      <c r="A267" t="s">
        <v>1185</v>
      </c>
      <c r="B267" s="1234" t="s">
        <v>565</v>
      </c>
      <c r="C267" t="str">
        <f>IF('MH Underwriting'!U159=0,"",'MH Underwriting'!U159)</f>
        <v/>
      </c>
      <c r="D267" t="str">
        <f>IF('MH Underwriting'!V159=0,"",'MH Underwriting'!V159)</f>
        <v/>
      </c>
      <c r="L267" t="s">
        <v>1383</v>
      </c>
      <c r="M267" t="str">
        <f t="shared" si="35"/>
        <v/>
      </c>
      <c r="T267" s="1216"/>
      <c r="AA267" s="1216"/>
      <c r="AB267" s="1216"/>
      <c r="AC267" s="1216"/>
      <c r="AD267" s="1216"/>
      <c r="AE267" s="1216"/>
    </row>
    <row r="268" spans="1:31" s="1216" customFormat="1" x14ac:dyDescent="0.25">
      <c r="A268" s="1216" t="s">
        <v>1185</v>
      </c>
      <c r="B268" s="1235" t="s">
        <v>1653</v>
      </c>
      <c r="C268" s="1216" t="str">
        <f>IF('MH Underwriting'!U160=0,"",'MH Underwriting'!U160)</f>
        <v/>
      </c>
      <c r="D268" s="1216" t="str">
        <f>IF('MH Underwriting'!V160=0,"",'MH Underwriting'!V160)</f>
        <v/>
      </c>
      <c r="L268" s="1237"/>
      <c r="M268" s="1237"/>
      <c r="N268" s="1237"/>
      <c r="T268"/>
      <c r="AA268"/>
      <c r="AB268"/>
      <c r="AC268"/>
      <c r="AD268"/>
      <c r="AE268"/>
    </row>
    <row r="269" spans="1:31" x14ac:dyDescent="0.25">
      <c r="A269" s="1237" t="s">
        <v>1185</v>
      </c>
      <c r="B269" s="1237" t="s">
        <v>297</v>
      </c>
      <c r="C269" s="1237"/>
      <c r="D269" s="1237"/>
      <c r="L269" s="1236"/>
      <c r="M269" s="1236"/>
      <c r="N269" s="1236"/>
    </row>
    <row r="270" spans="1:31" x14ac:dyDescent="0.25">
      <c r="A270" t="s">
        <v>1185</v>
      </c>
      <c r="B270" s="1234" t="s">
        <v>1360</v>
      </c>
      <c r="C270" t="str">
        <f>IF('MH Underwriting'!U162=0,"",'MH Underwriting'!U162)</f>
        <v/>
      </c>
      <c r="D270" t="str">
        <f>IF('MH Underwriting'!V162=0,"",'MH Underwriting'!V162)</f>
        <v/>
      </c>
      <c r="L270" t="s">
        <v>1384</v>
      </c>
      <c r="M270" t="str">
        <f t="shared" ref="M270:M276" si="36">IF(C270="","",C270)</f>
        <v/>
      </c>
    </row>
    <row r="271" spans="1:31" x14ac:dyDescent="0.25">
      <c r="A271" t="s">
        <v>1185</v>
      </c>
      <c r="B271" s="1234" t="s">
        <v>1361</v>
      </c>
      <c r="C271" t="str">
        <f>IF('MH Underwriting'!U163=0,"",'MH Underwriting'!U163)</f>
        <v/>
      </c>
      <c r="D271" t="str">
        <f>IF('MH Underwriting'!V163=0,"",'MH Underwriting'!V163)</f>
        <v/>
      </c>
      <c r="L271" t="s">
        <v>1385</v>
      </c>
      <c r="M271" t="str">
        <f t="shared" si="36"/>
        <v/>
      </c>
    </row>
    <row r="272" spans="1:31" x14ac:dyDescent="0.25">
      <c r="A272" t="s">
        <v>1185</v>
      </c>
      <c r="B272" s="1234" t="s">
        <v>1362</v>
      </c>
      <c r="C272" t="str">
        <f>IF('MH Underwriting'!U164=0,"",'MH Underwriting'!U164)</f>
        <v/>
      </c>
      <c r="D272" t="str">
        <f>IF('MH Underwriting'!V164=0,"",'MH Underwriting'!V164)</f>
        <v/>
      </c>
      <c r="L272" t="s">
        <v>1386</v>
      </c>
      <c r="M272" t="str">
        <f t="shared" si="36"/>
        <v/>
      </c>
    </row>
    <row r="273" spans="1:31" x14ac:dyDescent="0.25">
      <c r="A273" t="s">
        <v>1185</v>
      </c>
      <c r="B273" s="1234" t="s">
        <v>1363</v>
      </c>
      <c r="C273" t="str">
        <f>IF('MH Underwriting'!U165=0,"",'MH Underwriting'!U165)</f>
        <v/>
      </c>
      <c r="D273" t="str">
        <f>IF('MH Underwriting'!V165=0,"",'MH Underwriting'!V165)</f>
        <v/>
      </c>
      <c r="L273" t="s">
        <v>1387</v>
      </c>
      <c r="M273" t="str">
        <f t="shared" si="36"/>
        <v/>
      </c>
    </row>
    <row r="274" spans="1:31" x14ac:dyDescent="0.25">
      <c r="A274" t="s">
        <v>1185</v>
      </c>
      <c r="B274" s="1234" t="s">
        <v>1364</v>
      </c>
      <c r="C274" t="str">
        <f>IF('MH Underwriting'!U166=0,"",'MH Underwriting'!U166)</f>
        <v/>
      </c>
      <c r="D274" t="str">
        <f>IF('MH Underwriting'!V166=0,"",'MH Underwriting'!V166)</f>
        <v/>
      </c>
      <c r="L274" t="s">
        <v>1388</v>
      </c>
      <c r="M274" t="str">
        <f t="shared" si="36"/>
        <v/>
      </c>
    </row>
    <row r="275" spans="1:31" x14ac:dyDescent="0.25">
      <c r="A275" t="s">
        <v>1185</v>
      </c>
      <c r="B275" s="1234" t="s">
        <v>1365</v>
      </c>
      <c r="C275" t="str">
        <f>IF('MH Underwriting'!U167=0,"",'MH Underwriting'!U167)</f>
        <v/>
      </c>
      <c r="D275" t="str">
        <f>IF('MH Underwriting'!V167=0,"",'MH Underwriting'!V167)</f>
        <v/>
      </c>
      <c r="L275" t="s">
        <v>1389</v>
      </c>
      <c r="M275" t="str">
        <f t="shared" si="36"/>
        <v/>
      </c>
    </row>
    <row r="276" spans="1:31" x14ac:dyDescent="0.25">
      <c r="A276" t="s">
        <v>1185</v>
      </c>
      <c r="B276" s="1234" t="s">
        <v>1366</v>
      </c>
      <c r="C276" t="str">
        <f>IF('MH Underwriting'!U168=0,"",'MH Underwriting'!U168)</f>
        <v/>
      </c>
      <c r="D276" t="str">
        <f>IF('MH Underwriting'!V168=0,"",'MH Underwriting'!V168)</f>
        <v/>
      </c>
      <c r="L276" t="s">
        <v>1390</v>
      </c>
      <c r="M276" t="str">
        <f t="shared" si="36"/>
        <v/>
      </c>
    </row>
    <row r="277" spans="1:31" x14ac:dyDescent="0.25">
      <c r="A277" t="s">
        <v>1185</v>
      </c>
      <c r="B277" s="1234" t="s">
        <v>1367</v>
      </c>
      <c r="C277" t="str">
        <f>IF('MH Underwriting'!U169=0,"",'MH Underwriting'!U169)</f>
        <v/>
      </c>
      <c r="D277" t="str">
        <f>IF('MH Underwriting'!V169=0,"",'MH Underwriting'!V169)</f>
        <v/>
      </c>
      <c r="L277" t="s">
        <v>1391</v>
      </c>
    </row>
    <row r="278" spans="1:31" x14ac:dyDescent="0.25">
      <c r="A278" t="s">
        <v>1185</v>
      </c>
      <c r="B278" s="1234" t="s">
        <v>567</v>
      </c>
      <c r="C278" t="str">
        <f>IF('MH Underwriting'!U170=0,"",'MH Underwriting'!U170)</f>
        <v/>
      </c>
      <c r="D278" t="str">
        <f>IF('MH Underwriting'!V170=0,"",'MH Underwriting'!V170)</f>
        <v/>
      </c>
      <c r="L278" s="1216" t="s">
        <v>1391</v>
      </c>
      <c r="M278" t="str">
        <f>IF(SUM(C277,C278,C284,C289,G299)=0,"",SUM(C277,C278,C284,C289,G299))</f>
        <v/>
      </c>
      <c r="N278" t="s">
        <v>1592</v>
      </c>
      <c r="T278" s="1216"/>
      <c r="AA278" s="1216"/>
      <c r="AB278" s="1216"/>
      <c r="AC278" s="1216"/>
      <c r="AD278" s="1216"/>
      <c r="AE278" s="1216"/>
    </row>
    <row r="279" spans="1:31" s="1216" customFormat="1" x14ac:dyDescent="0.25">
      <c r="A279" s="1216" t="s">
        <v>1185</v>
      </c>
      <c r="B279" s="1235" t="s">
        <v>1656</v>
      </c>
      <c r="C279" s="1216" t="str">
        <f>IF('MH Underwriting'!U171=0,"",'MH Underwriting'!U171)</f>
        <v/>
      </c>
      <c r="D279" s="1216" t="str">
        <f>IF('MH Underwriting'!V171=0,"",'MH Underwriting'!V171)</f>
        <v/>
      </c>
      <c r="L279" s="1237"/>
      <c r="M279" s="1237"/>
      <c r="N279" s="1237"/>
      <c r="T279"/>
      <c r="AA279"/>
      <c r="AB279"/>
      <c r="AC279"/>
      <c r="AD279"/>
      <c r="AE279"/>
    </row>
    <row r="280" spans="1:31" x14ac:dyDescent="0.25">
      <c r="A280" s="1237" t="s">
        <v>1185</v>
      </c>
      <c r="B280" s="1237" t="s">
        <v>295</v>
      </c>
      <c r="C280" s="1237"/>
      <c r="D280" s="1237"/>
      <c r="L280" s="1237"/>
      <c r="M280" s="1236"/>
      <c r="N280" s="1236"/>
    </row>
    <row r="281" spans="1:31" x14ac:dyDescent="0.25">
      <c r="A281" t="s">
        <v>1185</v>
      </c>
      <c r="B281" s="1234" t="s">
        <v>1368</v>
      </c>
      <c r="C281" t="str">
        <f>IF('MH Underwriting'!U173=0,"",'MH Underwriting'!U173)</f>
        <v/>
      </c>
      <c r="D281" t="str">
        <f>IF('MH Underwriting'!V173=0,"",'MH Underwriting'!V173)</f>
        <v/>
      </c>
      <c r="L281" t="s">
        <v>1392</v>
      </c>
      <c r="M281" t="str">
        <f>IF(C281="","",C281)</f>
        <v/>
      </c>
    </row>
    <row r="282" spans="1:31" x14ac:dyDescent="0.25">
      <c r="A282" t="s">
        <v>1185</v>
      </c>
      <c r="B282" s="1234" t="s">
        <v>1369</v>
      </c>
      <c r="C282" t="str">
        <f>IF('MH Underwriting'!U174=0,"",'MH Underwriting'!U174)</f>
        <v/>
      </c>
      <c r="D282" t="str">
        <f>IF('MH Underwriting'!V174=0,"",'MH Underwriting'!V174)</f>
        <v/>
      </c>
      <c r="L282" t="s">
        <v>1393</v>
      </c>
      <c r="M282" t="str">
        <f>IF(C282="","",C282)</f>
        <v/>
      </c>
    </row>
    <row r="283" spans="1:31" x14ac:dyDescent="0.25">
      <c r="A283" t="s">
        <v>1185</v>
      </c>
      <c r="B283" s="1234" t="s">
        <v>1370</v>
      </c>
      <c r="C283" t="str">
        <f>IF('MH Underwriting'!U175=0,"",'MH Underwriting'!U175)</f>
        <v/>
      </c>
      <c r="D283" t="str">
        <f>IF('MH Underwriting'!V175=0,"",'MH Underwriting'!V175)</f>
        <v/>
      </c>
      <c r="L283" t="s">
        <v>1394</v>
      </c>
      <c r="M283" t="str">
        <f>IF(C283="","",C283)</f>
        <v/>
      </c>
    </row>
    <row r="284" spans="1:31" x14ac:dyDescent="0.25">
      <c r="A284" t="s">
        <v>1185</v>
      </c>
      <c r="B284" s="1234" t="s">
        <v>571</v>
      </c>
      <c r="C284" t="str">
        <f>IF('MH Underwriting'!U176=0,"",'MH Underwriting'!U176)</f>
        <v/>
      </c>
      <c r="D284" t="str">
        <f>IF('MH Underwriting'!V176=0,"",'MH Underwriting'!V176)</f>
        <v/>
      </c>
      <c r="L284" t="s">
        <v>1391</v>
      </c>
    </row>
    <row r="285" spans="1:31" x14ac:dyDescent="0.25">
      <c r="A285" t="s">
        <v>1185</v>
      </c>
      <c r="B285" s="1234" t="s">
        <v>1371</v>
      </c>
      <c r="C285" t="str">
        <f>IF('MH Underwriting'!U178=0,"",'MH Underwriting'!U178)</f>
        <v/>
      </c>
      <c r="D285" t="str">
        <f>IF('MH Underwriting'!V178=0,"",'MH Underwriting'!V178)</f>
        <v/>
      </c>
      <c r="L285" t="s">
        <v>1395</v>
      </c>
      <c r="M285" t="str">
        <f>IF(C285="","",C285)</f>
        <v/>
      </c>
    </row>
    <row r="286" spans="1:31" x14ac:dyDescent="0.25">
      <c r="A286" t="s">
        <v>1185</v>
      </c>
      <c r="B286" s="1234" t="s">
        <v>1372</v>
      </c>
      <c r="C286" t="str">
        <f>IF('MH Underwriting'!U179=0,"",'MH Underwriting'!U179)</f>
        <v/>
      </c>
      <c r="D286" t="str">
        <f>IF('MH Underwriting'!V179=0,"",'MH Underwriting'!V179)</f>
        <v/>
      </c>
      <c r="L286" t="s">
        <v>1400</v>
      </c>
      <c r="M286" t="str">
        <f>IF(C286="","",C286)</f>
        <v/>
      </c>
    </row>
    <row r="287" spans="1:31" x14ac:dyDescent="0.25">
      <c r="A287" t="s">
        <v>1185</v>
      </c>
      <c r="B287" s="1234" t="s">
        <v>1373</v>
      </c>
      <c r="C287" t="str">
        <f>IF('MH Underwriting'!U180=0,"",'MH Underwriting'!U180)</f>
        <v/>
      </c>
      <c r="D287" t="str">
        <f>IF('MH Underwriting'!V180=0,"",'MH Underwriting'!V180)</f>
        <v/>
      </c>
      <c r="L287" t="s">
        <v>1396</v>
      </c>
      <c r="M287" t="str">
        <f>IF(C287="","",C287)</f>
        <v/>
      </c>
    </row>
    <row r="288" spans="1:31" x14ac:dyDescent="0.25">
      <c r="A288" t="s">
        <v>1185</v>
      </c>
      <c r="B288" s="1234" t="s">
        <v>1374</v>
      </c>
      <c r="C288" t="str">
        <f>IF('MH Underwriting'!U181=0,"",'MH Underwriting'!U181)</f>
        <v/>
      </c>
      <c r="D288" t="str">
        <f>IF('MH Underwriting'!V181=0,"",'MH Underwriting'!V181)</f>
        <v/>
      </c>
      <c r="L288" t="s">
        <v>1397</v>
      </c>
      <c r="M288" t="str">
        <f>IF(C288="","",C288)</f>
        <v/>
      </c>
    </row>
    <row r="289" spans="1:31" x14ac:dyDescent="0.25">
      <c r="A289" t="s">
        <v>1185</v>
      </c>
      <c r="B289" s="1234" t="s">
        <v>573</v>
      </c>
      <c r="C289" t="str">
        <f>IF('MH Underwriting'!U182=0,"",'MH Underwriting'!U182)</f>
        <v/>
      </c>
      <c r="D289" t="str">
        <f>IF('MH Underwriting'!V182=0,"",'MH Underwriting'!V182)</f>
        <v/>
      </c>
      <c r="L289" t="s">
        <v>1391</v>
      </c>
    </row>
    <row r="290" spans="1:31" x14ac:dyDescent="0.25">
      <c r="A290" t="s">
        <v>1185</v>
      </c>
      <c r="B290" s="1234"/>
      <c r="C290" t="str">
        <f>IF('MH Underwriting'!U183=0,"",'MH Underwriting'!U183)</f>
        <v/>
      </c>
      <c r="D290" t="str">
        <f>IF('MH Underwriting'!V183=0,"",'MH Underwriting'!V183)</f>
        <v/>
      </c>
      <c r="L290" s="1236"/>
      <c r="M290" s="1236"/>
      <c r="N290" s="1236"/>
      <c r="T290" s="1216"/>
      <c r="AA290" s="1216"/>
      <c r="AB290" s="1216"/>
      <c r="AC290" s="1216"/>
      <c r="AD290" s="1216"/>
      <c r="AE290" s="1216"/>
    </row>
    <row r="291" spans="1:31" s="1216" customFormat="1" x14ac:dyDescent="0.25">
      <c r="A291" s="1216" t="s">
        <v>1185</v>
      </c>
      <c r="B291" s="1235" t="s">
        <v>1657</v>
      </c>
      <c r="C291" s="1216" t="str">
        <f>IF('MH Underwriting'!U184=0,"",'MH Underwriting'!U184)</f>
        <v/>
      </c>
      <c r="D291" s="1216" t="str">
        <f>IF('MH Underwriting'!V184=0,"",'MH Underwriting'!V184)</f>
        <v/>
      </c>
      <c r="L291" s="1237"/>
      <c r="M291" s="1237"/>
      <c r="N291" s="1237"/>
      <c r="T291"/>
      <c r="AA291"/>
      <c r="AB291"/>
      <c r="AC291"/>
      <c r="AD291"/>
      <c r="AE291"/>
    </row>
    <row r="292" spans="1:31" x14ac:dyDescent="0.25">
      <c r="A292" s="1237" t="s">
        <v>1185</v>
      </c>
      <c r="B292" s="1237" t="s">
        <v>37</v>
      </c>
      <c r="C292" s="1237"/>
      <c r="D292" s="1237"/>
      <c r="L292" s="1236"/>
      <c r="M292" s="1236"/>
      <c r="N292" s="1236"/>
    </row>
    <row r="293" spans="1:31" x14ac:dyDescent="0.25">
      <c r="A293" t="s">
        <v>1185</v>
      </c>
      <c r="B293" s="1234" t="s">
        <v>1375</v>
      </c>
      <c r="C293" t="str">
        <f>IF('MH Underwriting'!U186=0,"",'MH Underwriting'!U186)</f>
        <v/>
      </c>
      <c r="D293" t="str">
        <f>IF('MH Underwriting'!V186=0,"",'MH Underwriting'!V186)</f>
        <v/>
      </c>
      <c r="L293" t="s">
        <v>1399</v>
      </c>
      <c r="M293" t="str">
        <f>IF(C293="","",C293)</f>
        <v/>
      </c>
    </row>
    <row r="294" spans="1:31" x14ac:dyDescent="0.25">
      <c r="A294" t="s">
        <v>1185</v>
      </c>
      <c r="B294" s="1234" t="s">
        <v>1376</v>
      </c>
      <c r="C294" t="str">
        <f>IF('MH Underwriting'!U187=0,"",'MH Underwriting'!U187)</f>
        <v/>
      </c>
      <c r="D294" t="str">
        <f>IF('MH Underwriting'!V187=0,"",'MH Underwriting'!V187)</f>
        <v/>
      </c>
      <c r="L294" t="s">
        <v>1398</v>
      </c>
      <c r="M294" t="str">
        <f>IF(C294="","",C294)</f>
        <v/>
      </c>
    </row>
    <row r="295" spans="1:31" x14ac:dyDescent="0.25">
      <c r="A295" t="s">
        <v>1185</v>
      </c>
      <c r="B295" s="1234" t="s">
        <v>1377</v>
      </c>
      <c r="C295" t="str">
        <f>IF('MH Underwriting'!U188=0,"",'MH Underwriting'!U188)</f>
        <v/>
      </c>
      <c r="D295" t="str">
        <f>IF('MH Underwriting'!V188=0,"",'MH Underwriting'!V188)</f>
        <v/>
      </c>
      <c r="L295" t="s">
        <v>1589</v>
      </c>
      <c r="M295" t="str">
        <f>IF(C295="","",C295)</f>
        <v/>
      </c>
    </row>
    <row r="296" spans="1:31" x14ac:dyDescent="0.25">
      <c r="A296" t="s">
        <v>1185</v>
      </c>
      <c r="B296" s="1234" t="s">
        <v>569</v>
      </c>
      <c r="C296" t="str">
        <f>IF('MH Underwriting'!U189=0,"",'MH Underwriting'!U189)</f>
        <v/>
      </c>
      <c r="D296" t="str">
        <f>IF('MH Underwriting'!V189=0,"",'MH Underwriting'!V189)</f>
        <v/>
      </c>
      <c r="L296" t="s">
        <v>1590</v>
      </c>
      <c r="M296" t="str">
        <f>IF(C296="","",C296)</f>
        <v/>
      </c>
      <c r="T296" s="1216"/>
      <c r="AA296" s="1216"/>
      <c r="AB296" s="1216"/>
      <c r="AC296" s="1216"/>
      <c r="AD296" s="1216"/>
      <c r="AE296" s="1216"/>
    </row>
    <row r="297" spans="1:31" s="1216" customFormat="1" x14ac:dyDescent="0.25">
      <c r="A297" s="1216" t="s">
        <v>1185</v>
      </c>
      <c r="B297" s="1235" t="s">
        <v>1658</v>
      </c>
      <c r="C297" s="1216" t="str">
        <f>IF('MH Underwriting'!U190=0,"",'MH Underwriting'!U190)</f>
        <v/>
      </c>
      <c r="D297" s="1216" t="str">
        <f>IF('MH Underwriting'!V190=0,"",'MH Underwriting'!V190)</f>
        <v/>
      </c>
      <c r="L297" s="1237"/>
      <c r="M297" s="1237"/>
      <c r="N297" s="1237"/>
      <c r="T297"/>
      <c r="AA297"/>
      <c r="AB297"/>
      <c r="AC297"/>
      <c r="AD297"/>
      <c r="AE297"/>
    </row>
    <row r="298" spans="1:31" x14ac:dyDescent="0.25">
      <c r="A298" s="1236" t="s">
        <v>1185</v>
      </c>
      <c r="B298" s="1236" t="s">
        <v>288</v>
      </c>
      <c r="C298" s="1236" t="str">
        <f>IF('MH Underwriting'!U192=0,"",'MH Underwriting'!U192)</f>
        <v/>
      </c>
      <c r="D298" s="1236" t="str">
        <f>IF('MH Underwriting'!V192=0,"",'MH Underwriting'!V192)</f>
        <v/>
      </c>
      <c r="L298" t="s">
        <v>1401</v>
      </c>
      <c r="M298" t="str">
        <f>IF(C298="","",C298)</f>
        <v/>
      </c>
    </row>
    <row r="299" spans="1:31" x14ac:dyDescent="0.25">
      <c r="A299" s="1236" t="s">
        <v>1185</v>
      </c>
      <c r="B299" s="1236" t="s">
        <v>285</v>
      </c>
      <c r="C299" s="1236" t="str">
        <f>IF('MH Underwriting'!U194=0,"",'MH Underwriting'!U194)</f>
        <v/>
      </c>
      <c r="D299" s="1236" t="str">
        <f>IF('MH Underwriting'!V194=0,"",'MH Underwriting'!V194)</f>
        <v/>
      </c>
      <c r="G299" t="str">
        <f>IF('MH Underwriting'!U194=0,"",'MH Underwriting'!U194)</f>
        <v/>
      </c>
      <c r="H299" t="str">
        <f>IF('MH Underwriting'!V194=0,"",'MH Underwriting'!V194)</f>
        <v/>
      </c>
      <c r="L299" t="s">
        <v>1391</v>
      </c>
      <c r="T299" s="1216"/>
      <c r="AA299" s="1216"/>
      <c r="AB299" s="1216"/>
      <c r="AC299" s="1216"/>
      <c r="AD299" s="1216"/>
      <c r="AE299" s="1216"/>
    </row>
    <row r="300" spans="1:31" s="1216" customFormat="1" x14ac:dyDescent="0.25">
      <c r="A300" s="1216" t="s">
        <v>1185</v>
      </c>
      <c r="B300" s="1216" t="s">
        <v>278</v>
      </c>
      <c r="C300" s="1216" t="str">
        <f>IF('MH Underwriting'!U196=0,"",'MH Underwriting'!U196)</f>
        <v/>
      </c>
      <c r="D300" s="1216" t="str">
        <f>IF('MH Underwriting'!V196=0,"",'MH Underwriting'!V196)</f>
        <v/>
      </c>
      <c r="L300" s="1237"/>
      <c r="M300" s="1237"/>
      <c r="N300" s="1237"/>
      <c r="T300"/>
      <c r="AA300"/>
      <c r="AB300"/>
      <c r="AC300"/>
      <c r="AD300"/>
      <c r="AE300"/>
    </row>
    <row r="303" spans="1:31" ht="18" x14ac:dyDescent="0.35">
      <c r="A303" s="1224" t="s">
        <v>1667</v>
      </c>
      <c r="B303" s="1224" t="s">
        <v>72</v>
      </c>
      <c r="C303" s="1224" t="s">
        <v>1664</v>
      </c>
      <c r="D303" s="1224"/>
      <c r="G303" s="1225" t="s">
        <v>1617</v>
      </c>
      <c r="H303" s="1225" t="s">
        <v>1661</v>
      </c>
      <c r="I303" s="1225"/>
      <c r="T303" s="1197"/>
      <c r="AA303" s="1197"/>
      <c r="AB303" s="1197"/>
      <c r="AC303" s="1197"/>
      <c r="AD303" s="1197"/>
      <c r="AE303" s="1197"/>
    </row>
    <row r="304" spans="1:31" s="1197" customFormat="1" x14ac:dyDescent="0.25">
      <c r="A304" s="1197" t="s">
        <v>1178</v>
      </c>
      <c r="B304" s="1197" t="s">
        <v>1229</v>
      </c>
      <c r="C304" s="1197" t="s">
        <v>1145</v>
      </c>
      <c r="D304" s="1197" t="s">
        <v>1542</v>
      </c>
      <c r="G304" s="1197" t="s">
        <v>1251</v>
      </c>
      <c r="H304" s="1197" t="s">
        <v>1547</v>
      </c>
      <c r="I304" s="1197" t="s">
        <v>304</v>
      </c>
      <c r="T304"/>
      <c r="AA304"/>
      <c r="AB304"/>
      <c r="AC304"/>
      <c r="AD304"/>
      <c r="AE304"/>
    </row>
    <row r="305" spans="1:31" ht="13.2" x14ac:dyDescent="0.25">
      <c r="A305" s="1237" t="s">
        <v>1537</v>
      </c>
      <c r="B305" s="1240" t="s">
        <v>71</v>
      </c>
      <c r="C305" s="1237"/>
      <c r="D305" s="1237"/>
      <c r="G305" s="1236"/>
      <c r="H305" s="1236"/>
      <c r="I305" s="1236"/>
    </row>
    <row r="306" spans="1:31" ht="13.2" x14ac:dyDescent="0.25">
      <c r="A306" t="s">
        <v>1537</v>
      </c>
      <c r="B306" s="1239" t="s">
        <v>5</v>
      </c>
      <c r="C306">
        <f>IF('Operating Budget'!E9="",0,'Operating Budget'!E9)</f>
        <v>0</v>
      </c>
      <c r="D306">
        <f t="shared" ref="D306:D318" si="37">IF($B$5=0,0,C306/$B$5)</f>
        <v>0</v>
      </c>
      <c r="G306" t="s">
        <v>1355</v>
      </c>
      <c r="H306">
        <f t="shared" ref="H306:H342" si="38">C306</f>
        <v>0</v>
      </c>
      <c r="I306">
        <f t="shared" ref="I306:I342" si="39">D306</f>
        <v>0</v>
      </c>
    </row>
    <row r="307" spans="1:31" ht="13.2" x14ac:dyDescent="0.25">
      <c r="A307" t="s">
        <v>1537</v>
      </c>
      <c r="B307" s="1241" t="s">
        <v>1502</v>
      </c>
      <c r="C307">
        <f>IF('Operating Budget'!E11="",0,'Operating Budget'!E11)</f>
        <v>0</v>
      </c>
      <c r="D307">
        <f t="shared" si="37"/>
        <v>0</v>
      </c>
      <c r="G307" t="s">
        <v>1602</v>
      </c>
      <c r="H307">
        <f t="shared" si="38"/>
        <v>0</v>
      </c>
      <c r="I307">
        <f t="shared" si="39"/>
        <v>0</v>
      </c>
    </row>
    <row r="308" spans="1:31" ht="13.2" x14ac:dyDescent="0.25">
      <c r="A308" t="s">
        <v>1537</v>
      </c>
      <c r="B308" s="1241" t="s">
        <v>1503</v>
      </c>
      <c r="C308">
        <f>IF('Operating Budget'!E13="",0,'Operating Budget'!E13)</f>
        <v>0</v>
      </c>
      <c r="D308">
        <f t="shared" si="37"/>
        <v>0</v>
      </c>
      <c r="G308" t="s">
        <v>1603</v>
      </c>
      <c r="H308">
        <f t="shared" si="38"/>
        <v>0</v>
      </c>
      <c r="I308">
        <f t="shared" si="39"/>
        <v>0</v>
      </c>
    </row>
    <row r="309" spans="1:31" ht="13.2" x14ac:dyDescent="0.25">
      <c r="A309" t="s">
        <v>1537</v>
      </c>
      <c r="B309" s="1241" t="s">
        <v>1504</v>
      </c>
      <c r="C309">
        <f>IF('Operating Budget'!E15="",0,'Operating Budget'!E15)</f>
        <v>0</v>
      </c>
      <c r="D309">
        <f t="shared" si="37"/>
        <v>0</v>
      </c>
      <c r="G309" t="s">
        <v>1604</v>
      </c>
      <c r="H309">
        <f t="shared" si="38"/>
        <v>0</v>
      </c>
      <c r="I309">
        <f t="shared" si="39"/>
        <v>0</v>
      </c>
    </row>
    <row r="310" spans="1:31" ht="13.2" x14ac:dyDescent="0.25">
      <c r="A310" t="s">
        <v>1537</v>
      </c>
      <c r="B310" s="1241" t="s">
        <v>1532</v>
      </c>
      <c r="C310">
        <f>IF('Operating Budget'!E17="",0,'Operating Budget'!E17)</f>
        <v>0</v>
      </c>
      <c r="D310">
        <f t="shared" si="37"/>
        <v>0</v>
      </c>
      <c r="G310" t="s">
        <v>1605</v>
      </c>
      <c r="H310">
        <f t="shared" si="38"/>
        <v>0</v>
      </c>
      <c r="I310">
        <f t="shared" si="39"/>
        <v>0</v>
      </c>
    </row>
    <row r="311" spans="1:31" ht="13.2" x14ac:dyDescent="0.25">
      <c r="A311" t="s">
        <v>1537</v>
      </c>
      <c r="B311" s="1241" t="s">
        <v>1505</v>
      </c>
      <c r="C311">
        <f>IF('Operating Budget'!E19="",0,'Operating Budget'!E19)</f>
        <v>0</v>
      </c>
      <c r="D311">
        <f t="shared" si="37"/>
        <v>0</v>
      </c>
      <c r="G311" t="s">
        <v>1606</v>
      </c>
      <c r="H311">
        <f t="shared" si="38"/>
        <v>0</v>
      </c>
      <c r="I311">
        <f t="shared" si="39"/>
        <v>0</v>
      </c>
    </row>
    <row r="312" spans="1:31" ht="13.2" x14ac:dyDescent="0.25">
      <c r="A312" t="s">
        <v>1537</v>
      </c>
      <c r="B312" s="1241" t="s">
        <v>1506</v>
      </c>
      <c r="C312">
        <f>IF('Operating Budget'!E21="",0,'Operating Budget'!E21)</f>
        <v>0</v>
      </c>
      <c r="D312">
        <f t="shared" si="37"/>
        <v>0</v>
      </c>
      <c r="G312" t="s">
        <v>1607</v>
      </c>
      <c r="H312">
        <f t="shared" si="38"/>
        <v>0</v>
      </c>
      <c r="I312">
        <f t="shared" si="39"/>
        <v>0</v>
      </c>
      <c r="T312" s="1216"/>
      <c r="AA312" s="1216"/>
      <c r="AB312" s="1216"/>
      <c r="AC312" s="1216"/>
      <c r="AD312" s="1216"/>
      <c r="AE312" s="1216"/>
    </row>
    <row r="313" spans="1:31" s="1216" customFormat="1" ht="13.2" x14ac:dyDescent="0.25">
      <c r="A313" s="1216" t="s">
        <v>1537</v>
      </c>
      <c r="B313" s="1242" t="s">
        <v>1510</v>
      </c>
      <c r="C313" s="1216">
        <f>IF('Operating Budget'!E23="",0,'Operating Budget'!E23)</f>
        <v>0</v>
      </c>
      <c r="D313" s="1216">
        <f t="shared" si="37"/>
        <v>0</v>
      </c>
      <c r="G313" s="1216" t="s">
        <v>1356</v>
      </c>
      <c r="H313" s="1216">
        <f t="shared" si="38"/>
        <v>0</v>
      </c>
      <c r="I313" s="1216">
        <f t="shared" si="39"/>
        <v>0</v>
      </c>
      <c r="T313"/>
      <c r="AA313"/>
      <c r="AB313"/>
      <c r="AC313"/>
      <c r="AD313"/>
      <c r="AE313"/>
    </row>
    <row r="314" spans="1:31" ht="13.2" x14ac:dyDescent="0.25">
      <c r="A314" t="s">
        <v>1537</v>
      </c>
      <c r="B314" s="1239" t="s">
        <v>6</v>
      </c>
      <c r="C314">
        <f>IF('Operating Budget'!E25="",0,'Operating Budget'!E25)</f>
        <v>0</v>
      </c>
      <c r="D314">
        <f t="shared" si="37"/>
        <v>0</v>
      </c>
      <c r="G314" t="s">
        <v>1357</v>
      </c>
      <c r="H314">
        <f t="shared" si="38"/>
        <v>0</v>
      </c>
      <c r="I314">
        <f t="shared" si="39"/>
        <v>0</v>
      </c>
    </row>
    <row r="315" spans="1:31" ht="13.2" x14ac:dyDescent="0.25">
      <c r="A315" t="s">
        <v>1537</v>
      </c>
      <c r="B315" s="1239" t="s">
        <v>7</v>
      </c>
      <c r="C315">
        <f>IF('Operating Budget'!E27="",0,'Operating Budget'!E27)</f>
        <v>0</v>
      </c>
      <c r="D315">
        <f t="shared" si="37"/>
        <v>0</v>
      </c>
      <c r="G315" t="s">
        <v>1358</v>
      </c>
      <c r="H315">
        <f t="shared" si="38"/>
        <v>0</v>
      </c>
      <c r="I315">
        <f t="shared" si="39"/>
        <v>0</v>
      </c>
    </row>
    <row r="316" spans="1:31" ht="13.2" x14ac:dyDescent="0.25">
      <c r="A316" t="s">
        <v>1537</v>
      </c>
      <c r="B316" s="1239" t="s">
        <v>8</v>
      </c>
      <c r="C316">
        <f>IF('Operating Budget'!E29="",0,'Operating Budget'!E29)</f>
        <v>0</v>
      </c>
      <c r="D316">
        <f t="shared" si="37"/>
        <v>0</v>
      </c>
      <c r="G316" t="s">
        <v>1359</v>
      </c>
      <c r="H316">
        <f t="shared" si="38"/>
        <v>0</v>
      </c>
      <c r="I316">
        <f t="shared" si="39"/>
        <v>0</v>
      </c>
    </row>
    <row r="317" spans="1:31" ht="13.2" x14ac:dyDescent="0.25">
      <c r="A317" t="s">
        <v>1537</v>
      </c>
      <c r="B317" s="1239" t="s">
        <v>9</v>
      </c>
      <c r="C317">
        <f>IF('Operating Budget'!E31="",0,'Operating Budget'!E31)</f>
        <v>0</v>
      </c>
      <c r="D317">
        <f t="shared" si="37"/>
        <v>0</v>
      </c>
      <c r="G317" t="s">
        <v>1574</v>
      </c>
      <c r="H317">
        <f t="shared" si="38"/>
        <v>0</v>
      </c>
      <c r="I317">
        <f t="shared" si="39"/>
        <v>0</v>
      </c>
    </row>
    <row r="318" spans="1:31" ht="13.2" x14ac:dyDescent="0.25">
      <c r="A318" s="1216" t="s">
        <v>1537</v>
      </c>
      <c r="B318" s="1213" t="s">
        <v>34</v>
      </c>
      <c r="C318" s="1216">
        <f>IF('Operating Budget'!E33="",0,'Operating Budget'!E33)</f>
        <v>0</v>
      </c>
      <c r="D318" s="1216">
        <f t="shared" si="37"/>
        <v>0</v>
      </c>
      <c r="G318" s="1236"/>
      <c r="H318" s="1236"/>
      <c r="I318" s="1236"/>
    </row>
    <row r="319" spans="1:31" ht="13.2" x14ac:dyDescent="0.25">
      <c r="A319" s="1237" t="s">
        <v>1537</v>
      </c>
      <c r="B319" s="1240" t="s">
        <v>72</v>
      </c>
      <c r="C319" s="1237"/>
      <c r="D319" s="1237"/>
      <c r="G319" s="1236"/>
      <c r="H319" s="1236"/>
      <c r="I319" s="1236"/>
    </row>
    <row r="320" spans="1:31" ht="13.2" x14ac:dyDescent="0.25">
      <c r="A320" t="s">
        <v>1537</v>
      </c>
      <c r="B320" s="1239" t="s">
        <v>10</v>
      </c>
      <c r="C320">
        <f>IF('Operating Budget'!E36="",0,'Operating Budget'!E36)</f>
        <v>0</v>
      </c>
      <c r="D320">
        <f t="shared" ref="D320:D331" si="40">IF($B$5=0,0,C320/$B$5)</f>
        <v>0</v>
      </c>
      <c r="G320" t="s">
        <v>1360</v>
      </c>
      <c r="H320">
        <f t="shared" si="38"/>
        <v>0</v>
      </c>
      <c r="I320">
        <f t="shared" si="39"/>
        <v>0</v>
      </c>
    </row>
    <row r="321" spans="1:9" ht="13.2" x14ac:dyDescent="0.25">
      <c r="A321" t="s">
        <v>1537</v>
      </c>
      <c r="B321" s="1239" t="s">
        <v>11</v>
      </c>
      <c r="C321">
        <f>IF('Operating Budget'!E38="",0,'Operating Budget'!E38)</f>
        <v>0</v>
      </c>
      <c r="D321">
        <f t="shared" si="40"/>
        <v>0</v>
      </c>
      <c r="G321" t="s">
        <v>1361</v>
      </c>
      <c r="H321">
        <f t="shared" si="38"/>
        <v>0</v>
      </c>
      <c r="I321">
        <f t="shared" si="39"/>
        <v>0</v>
      </c>
    </row>
    <row r="322" spans="1:9" ht="13.2" x14ac:dyDescent="0.25">
      <c r="A322" t="s">
        <v>1537</v>
      </c>
      <c r="B322" s="1239" t="s">
        <v>12</v>
      </c>
      <c r="C322">
        <f>IF('Operating Budget'!E40="",0,'Operating Budget'!E40)</f>
        <v>0</v>
      </c>
      <c r="D322">
        <f t="shared" si="40"/>
        <v>0</v>
      </c>
      <c r="G322" t="s">
        <v>1362</v>
      </c>
      <c r="H322">
        <f t="shared" si="38"/>
        <v>0</v>
      </c>
      <c r="I322">
        <f t="shared" si="39"/>
        <v>0</v>
      </c>
    </row>
    <row r="323" spans="1:9" ht="13.2" x14ac:dyDescent="0.25">
      <c r="A323" t="s">
        <v>1537</v>
      </c>
      <c r="B323" s="1239" t="s">
        <v>1511</v>
      </c>
      <c r="C323">
        <f>IF('Operating Budget'!E42="",0,'Operating Budget'!E42)</f>
        <v>0</v>
      </c>
      <c r="D323">
        <f t="shared" si="40"/>
        <v>0</v>
      </c>
      <c r="G323" t="s">
        <v>1608</v>
      </c>
      <c r="H323">
        <f t="shared" si="38"/>
        <v>0</v>
      </c>
      <c r="I323">
        <f>D323</f>
        <v>0</v>
      </c>
    </row>
    <row r="324" spans="1:9" ht="13.2" x14ac:dyDescent="0.25">
      <c r="A324" t="s">
        <v>1537</v>
      </c>
      <c r="B324" s="1239" t="s">
        <v>1507</v>
      </c>
      <c r="C324">
        <f>IF('Operating Budget'!E44="",0,'Operating Budget'!E44)</f>
        <v>0</v>
      </c>
      <c r="D324">
        <f t="shared" si="40"/>
        <v>0</v>
      </c>
      <c r="G324" t="s">
        <v>1609</v>
      </c>
      <c r="H324">
        <f t="shared" si="38"/>
        <v>0</v>
      </c>
      <c r="I324">
        <f t="shared" si="39"/>
        <v>0</v>
      </c>
    </row>
    <row r="325" spans="1:9" ht="13.2" x14ac:dyDescent="0.25">
      <c r="A325" t="s">
        <v>1537</v>
      </c>
      <c r="B325" s="1239" t="s">
        <v>14</v>
      </c>
      <c r="C325">
        <f>IF('Operating Budget'!E46="",0,'Operating Budget'!E46)</f>
        <v>0</v>
      </c>
      <c r="D325">
        <f t="shared" si="40"/>
        <v>0</v>
      </c>
      <c r="G325" t="s">
        <v>1364</v>
      </c>
      <c r="H325">
        <f t="shared" si="38"/>
        <v>0</v>
      </c>
      <c r="I325">
        <f t="shared" si="39"/>
        <v>0</v>
      </c>
    </row>
    <row r="326" spans="1:9" ht="13.2" x14ac:dyDescent="0.25">
      <c r="A326" t="s">
        <v>1537</v>
      </c>
      <c r="B326" s="1239" t="s">
        <v>1508</v>
      </c>
      <c r="C326">
        <f>IF('Operating Budget'!E48="",0,'Operating Budget'!E48)</f>
        <v>0</v>
      </c>
      <c r="D326">
        <f t="shared" si="40"/>
        <v>0</v>
      </c>
      <c r="G326" t="s">
        <v>88</v>
      </c>
      <c r="H326">
        <f t="shared" si="38"/>
        <v>0</v>
      </c>
      <c r="I326">
        <f t="shared" si="39"/>
        <v>0</v>
      </c>
    </row>
    <row r="327" spans="1:9" ht="13.2" x14ac:dyDescent="0.25">
      <c r="A327" t="s">
        <v>1537</v>
      </c>
      <c r="B327" s="1239" t="s">
        <v>1509</v>
      </c>
      <c r="C327">
        <f>IF('Operating Budget'!E50="",0,'Operating Budget'!E50)</f>
        <v>0</v>
      </c>
      <c r="D327">
        <f t="shared" si="40"/>
        <v>0</v>
      </c>
      <c r="G327" t="s">
        <v>89</v>
      </c>
      <c r="H327">
        <f t="shared" si="38"/>
        <v>0</v>
      </c>
      <c r="I327">
        <f t="shared" si="39"/>
        <v>0</v>
      </c>
    </row>
    <row r="328" spans="1:9" ht="13.2" x14ac:dyDescent="0.25">
      <c r="A328" t="s">
        <v>1537</v>
      </c>
      <c r="B328" s="1239" t="s">
        <v>16</v>
      </c>
      <c r="C328">
        <f>IF('Operating Budget'!E52="",0,'Operating Budget'!E52)</f>
        <v>0</v>
      </c>
      <c r="D328">
        <f t="shared" si="40"/>
        <v>0</v>
      </c>
      <c r="G328" t="s">
        <v>1366</v>
      </c>
      <c r="H328">
        <f t="shared" si="38"/>
        <v>0</v>
      </c>
      <c r="I328">
        <f t="shared" si="39"/>
        <v>0</v>
      </c>
    </row>
    <row r="329" spans="1:9" ht="13.2" x14ac:dyDescent="0.25">
      <c r="A329" t="s">
        <v>1537</v>
      </c>
      <c r="B329" s="1239" t="s">
        <v>17</v>
      </c>
      <c r="C329">
        <f>IF('Operating Budget'!E54="",0,'Operating Budget'!E54)</f>
        <v>0</v>
      </c>
      <c r="D329">
        <f t="shared" si="40"/>
        <v>0</v>
      </c>
      <c r="G329" t="s">
        <v>1367</v>
      </c>
      <c r="H329">
        <f t="shared" si="38"/>
        <v>0</v>
      </c>
      <c r="I329">
        <f t="shared" si="39"/>
        <v>0</v>
      </c>
    </row>
    <row r="330" spans="1:9" ht="13.2" x14ac:dyDescent="0.25">
      <c r="A330" t="s">
        <v>1537</v>
      </c>
      <c r="B330" s="1239" t="s">
        <v>18</v>
      </c>
      <c r="C330">
        <f>IF('Operating Budget'!E56="",0,'Operating Budget'!E56)</f>
        <v>0</v>
      </c>
      <c r="D330">
        <f t="shared" si="40"/>
        <v>0</v>
      </c>
      <c r="G330" t="s">
        <v>1575</v>
      </c>
      <c r="H330">
        <f t="shared" si="38"/>
        <v>0</v>
      </c>
      <c r="I330">
        <f t="shared" si="39"/>
        <v>0</v>
      </c>
    </row>
    <row r="331" spans="1:9" ht="13.2" x14ac:dyDescent="0.25">
      <c r="A331" s="1216" t="s">
        <v>1537</v>
      </c>
      <c r="B331" s="1213" t="s">
        <v>35</v>
      </c>
      <c r="C331" s="1216">
        <f>IF('Operating Budget'!E58="",0,'Operating Budget'!E58)</f>
        <v>0</v>
      </c>
      <c r="D331" s="1216">
        <f t="shared" si="40"/>
        <v>0</v>
      </c>
      <c r="G331" s="1236"/>
      <c r="H331" s="1236"/>
      <c r="I331" s="1236"/>
    </row>
    <row r="332" spans="1:9" ht="13.2" x14ac:dyDescent="0.25">
      <c r="A332" s="1237" t="s">
        <v>1537</v>
      </c>
      <c r="B332" s="1240" t="s">
        <v>70</v>
      </c>
      <c r="C332" s="1237"/>
      <c r="D332" s="1237"/>
      <c r="G332" s="1236"/>
      <c r="H332" s="1236"/>
      <c r="I332" s="1236"/>
    </row>
    <row r="333" spans="1:9" ht="13.2" x14ac:dyDescent="0.25">
      <c r="A333" t="s">
        <v>1537</v>
      </c>
      <c r="B333" s="1239" t="s">
        <v>19</v>
      </c>
      <c r="C333">
        <f>IF('Operating Budget'!E61="",0,'Operating Budget'!E61)</f>
        <v>0</v>
      </c>
      <c r="D333">
        <f t="shared" ref="D333:D344" si="41">IF($B$5=0,0,C333/$B$5)</f>
        <v>0</v>
      </c>
      <c r="G333" t="s">
        <v>1368</v>
      </c>
      <c r="H333">
        <f t="shared" si="38"/>
        <v>0</v>
      </c>
      <c r="I333">
        <f t="shared" si="39"/>
        <v>0</v>
      </c>
    </row>
    <row r="334" spans="1:9" ht="13.2" x14ac:dyDescent="0.25">
      <c r="A334" t="s">
        <v>1537</v>
      </c>
      <c r="B334" s="1239" t="s">
        <v>20</v>
      </c>
      <c r="C334">
        <f>IF('Operating Budget'!E63="",0,'Operating Budget'!E63)</f>
        <v>0</v>
      </c>
      <c r="D334">
        <f t="shared" si="41"/>
        <v>0</v>
      </c>
      <c r="G334" t="s">
        <v>1369</v>
      </c>
      <c r="H334">
        <f t="shared" si="38"/>
        <v>0</v>
      </c>
      <c r="I334">
        <f t="shared" si="39"/>
        <v>0</v>
      </c>
    </row>
    <row r="335" spans="1:9" ht="13.2" x14ac:dyDescent="0.25">
      <c r="A335" t="s">
        <v>1537</v>
      </c>
      <c r="B335" s="1239" t="s">
        <v>21</v>
      </c>
      <c r="C335">
        <f>IF('Operating Budget'!E65="",0,'Operating Budget'!E65)</f>
        <v>0</v>
      </c>
      <c r="D335">
        <f t="shared" si="41"/>
        <v>0</v>
      </c>
      <c r="G335" t="s">
        <v>1370</v>
      </c>
      <c r="H335">
        <f t="shared" si="38"/>
        <v>0</v>
      </c>
      <c r="I335">
        <f t="shared" si="39"/>
        <v>0</v>
      </c>
    </row>
    <row r="336" spans="1:9" ht="13.2" x14ac:dyDescent="0.25">
      <c r="A336" t="s">
        <v>1537</v>
      </c>
      <c r="B336" s="1239" t="s">
        <v>22</v>
      </c>
      <c r="C336">
        <f>IF('Operating Budget'!E67="",0,'Operating Budget'!E67)</f>
        <v>0</v>
      </c>
      <c r="D336">
        <f t="shared" si="41"/>
        <v>0</v>
      </c>
      <c r="G336" t="s">
        <v>1576</v>
      </c>
      <c r="H336">
        <f t="shared" si="38"/>
        <v>0</v>
      </c>
      <c r="I336">
        <f t="shared" si="39"/>
        <v>0</v>
      </c>
    </row>
    <row r="337" spans="1:9" ht="13.2" x14ac:dyDescent="0.25">
      <c r="A337" s="1216" t="s">
        <v>1537</v>
      </c>
      <c r="B337" s="1213" t="s">
        <v>73</v>
      </c>
      <c r="C337" s="1216">
        <f>IF('Operating Budget'!E69="",0,'Operating Budget'!E69)</f>
        <v>0</v>
      </c>
      <c r="D337" s="1216">
        <f t="shared" si="41"/>
        <v>0</v>
      </c>
      <c r="G337" s="1236"/>
      <c r="H337" s="1236"/>
      <c r="I337" s="1236"/>
    </row>
    <row r="338" spans="1:9" ht="13.2" x14ac:dyDescent="0.25">
      <c r="A338" t="s">
        <v>1537</v>
      </c>
      <c r="B338" s="1239" t="s">
        <v>23</v>
      </c>
      <c r="C338">
        <f>IF('Operating Budget'!E71="",0,'Operating Budget'!E71)</f>
        <v>0</v>
      </c>
      <c r="D338">
        <f t="shared" si="41"/>
        <v>0</v>
      </c>
      <c r="G338" t="s">
        <v>1371</v>
      </c>
      <c r="H338">
        <f t="shared" si="38"/>
        <v>0</v>
      </c>
      <c r="I338">
        <f t="shared" si="39"/>
        <v>0</v>
      </c>
    </row>
    <row r="339" spans="1:9" ht="13.2" x14ac:dyDescent="0.25">
      <c r="A339" t="s">
        <v>1537</v>
      </c>
      <c r="B339" s="1239" t="s">
        <v>25</v>
      </c>
      <c r="C339">
        <f>IF('Operating Budget'!E73="",0,'Operating Budget'!E73)</f>
        <v>0</v>
      </c>
      <c r="D339">
        <f t="shared" si="41"/>
        <v>0</v>
      </c>
      <c r="G339" t="s">
        <v>1372</v>
      </c>
      <c r="H339">
        <f t="shared" si="38"/>
        <v>0</v>
      </c>
      <c r="I339">
        <f t="shared" si="39"/>
        <v>0</v>
      </c>
    </row>
    <row r="340" spans="1:9" ht="13.2" x14ac:dyDescent="0.25">
      <c r="A340" t="s">
        <v>1537</v>
      </c>
      <c r="B340" s="1239" t="s">
        <v>26</v>
      </c>
      <c r="C340">
        <f>IF('Operating Budget'!E75="",0,'Operating Budget'!E75)</f>
        <v>0</v>
      </c>
      <c r="D340">
        <f t="shared" si="41"/>
        <v>0</v>
      </c>
      <c r="G340" t="s">
        <v>1373</v>
      </c>
      <c r="H340">
        <f t="shared" si="38"/>
        <v>0</v>
      </c>
      <c r="I340">
        <f t="shared" si="39"/>
        <v>0</v>
      </c>
    </row>
    <row r="341" spans="1:9" ht="13.2" x14ac:dyDescent="0.25">
      <c r="A341" t="s">
        <v>1537</v>
      </c>
      <c r="B341" s="1239" t="s">
        <v>27</v>
      </c>
      <c r="C341">
        <f>IF('Operating Budget'!E77="",0,'Operating Budget'!E77)</f>
        <v>0</v>
      </c>
      <c r="D341">
        <f t="shared" si="41"/>
        <v>0</v>
      </c>
      <c r="G341" t="s">
        <v>1374</v>
      </c>
      <c r="H341">
        <f t="shared" si="38"/>
        <v>0</v>
      </c>
      <c r="I341">
        <f t="shared" si="39"/>
        <v>0</v>
      </c>
    </row>
    <row r="342" spans="1:9" ht="13.2" x14ac:dyDescent="0.25">
      <c r="A342" t="s">
        <v>1537</v>
      </c>
      <c r="B342" s="1239" t="s">
        <v>28</v>
      </c>
      <c r="C342">
        <f>IF('Operating Budget'!E79="",0,'Operating Budget'!E79)</f>
        <v>0</v>
      </c>
      <c r="D342">
        <f t="shared" si="41"/>
        <v>0</v>
      </c>
      <c r="G342" t="s">
        <v>1577</v>
      </c>
      <c r="H342">
        <f t="shared" si="38"/>
        <v>0</v>
      </c>
      <c r="I342">
        <f t="shared" si="39"/>
        <v>0</v>
      </c>
    </row>
    <row r="343" spans="1:9" ht="13.2" x14ac:dyDescent="0.25">
      <c r="A343" s="1216" t="s">
        <v>1537</v>
      </c>
      <c r="B343" s="1213" t="s">
        <v>74</v>
      </c>
      <c r="C343" s="1216">
        <f>IF('Operating Budget'!E81="",0,'Operating Budget'!E81)</f>
        <v>0</v>
      </c>
      <c r="D343" s="1216">
        <f t="shared" si="41"/>
        <v>0</v>
      </c>
      <c r="G343" s="1236"/>
      <c r="H343" s="1236"/>
      <c r="I343" s="1236"/>
    </row>
    <row r="344" spans="1:9" ht="13.2" x14ac:dyDescent="0.25">
      <c r="A344" s="1216" t="s">
        <v>1537</v>
      </c>
      <c r="B344" s="1213" t="s">
        <v>36</v>
      </c>
      <c r="C344" s="1216">
        <f>IF('Operating Budget'!E83="",0,'Operating Budget'!E83)</f>
        <v>0</v>
      </c>
      <c r="D344" s="1216">
        <f t="shared" si="41"/>
        <v>0</v>
      </c>
      <c r="G344" s="1236"/>
      <c r="H344" s="1236"/>
      <c r="I344" s="1236"/>
    </row>
    <row r="345" spans="1:9" ht="13.2" x14ac:dyDescent="0.25">
      <c r="A345" s="1237" t="s">
        <v>1537</v>
      </c>
      <c r="B345" s="1240" t="s">
        <v>1665</v>
      </c>
      <c r="C345" s="1237"/>
      <c r="D345" s="1237"/>
      <c r="G345" s="1236"/>
      <c r="H345" s="1236"/>
      <c r="I345" s="1236"/>
    </row>
    <row r="346" spans="1:9" ht="13.2" x14ac:dyDescent="0.25">
      <c r="A346" t="s">
        <v>1537</v>
      </c>
      <c r="B346" s="1239" t="s">
        <v>29</v>
      </c>
      <c r="C346">
        <f>IF('Operating Budget'!E86="",0,'Operating Budget'!E86)</f>
        <v>0</v>
      </c>
      <c r="D346">
        <f t="shared" ref="D346:D353" si="42">IF($B$5=0,0,C346/$B$5)</f>
        <v>0</v>
      </c>
      <c r="G346" t="s">
        <v>1375</v>
      </c>
      <c r="H346">
        <f t="shared" ref="H346:I349" si="43">C346</f>
        <v>0</v>
      </c>
      <c r="I346">
        <f t="shared" si="43"/>
        <v>0</v>
      </c>
    </row>
    <row r="347" spans="1:9" ht="13.2" x14ac:dyDescent="0.25">
      <c r="A347" t="s">
        <v>1537</v>
      </c>
      <c r="B347" s="1239" t="s">
        <v>30</v>
      </c>
      <c r="C347">
        <f>IF('Operating Budget'!E88="",0,'Operating Budget'!E88)</f>
        <v>0</v>
      </c>
      <c r="D347">
        <f t="shared" si="42"/>
        <v>0</v>
      </c>
      <c r="G347" t="s">
        <v>1376</v>
      </c>
      <c r="H347">
        <f t="shared" si="43"/>
        <v>0</v>
      </c>
      <c r="I347">
        <f t="shared" si="43"/>
        <v>0</v>
      </c>
    </row>
    <row r="348" spans="1:9" ht="13.2" x14ac:dyDescent="0.25">
      <c r="A348" t="s">
        <v>1537</v>
      </c>
      <c r="B348" s="1239" t="s">
        <v>174</v>
      </c>
      <c r="C348">
        <f>IF('Operating Budget'!E90="",0,'Operating Budget'!E90)</f>
        <v>0</v>
      </c>
      <c r="D348">
        <f t="shared" si="42"/>
        <v>0</v>
      </c>
      <c r="G348" t="s">
        <v>1377</v>
      </c>
      <c r="H348">
        <f t="shared" si="43"/>
        <v>0</v>
      </c>
      <c r="I348">
        <f t="shared" si="43"/>
        <v>0</v>
      </c>
    </row>
    <row r="349" spans="1:9" ht="13.2" x14ac:dyDescent="0.25">
      <c r="A349" t="s">
        <v>1537</v>
      </c>
      <c r="B349" s="1239" t="s">
        <v>175</v>
      </c>
      <c r="C349">
        <f>IF('Operating Budget'!E92="",0,'Operating Budget'!E92)</f>
        <v>0</v>
      </c>
      <c r="D349">
        <f t="shared" si="42"/>
        <v>0</v>
      </c>
      <c r="G349" t="s">
        <v>1578</v>
      </c>
      <c r="H349">
        <f t="shared" si="43"/>
        <v>0</v>
      </c>
      <c r="I349">
        <f t="shared" si="43"/>
        <v>0</v>
      </c>
    </row>
    <row r="350" spans="1:9" ht="13.2" x14ac:dyDescent="0.25">
      <c r="A350" t="s">
        <v>1537</v>
      </c>
      <c r="B350" s="1213" t="s">
        <v>38</v>
      </c>
      <c r="C350">
        <f>IF('Operating Budget'!E94="",0,'Operating Budget'!E94)</f>
        <v>0</v>
      </c>
      <c r="D350">
        <f t="shared" si="42"/>
        <v>0</v>
      </c>
      <c r="G350" s="1236"/>
      <c r="H350" s="1236"/>
      <c r="I350" s="1236"/>
    </row>
    <row r="351" spans="1:9" ht="13.2" x14ac:dyDescent="0.25">
      <c r="A351" s="1236" t="s">
        <v>1537</v>
      </c>
      <c r="B351" s="1243" t="s">
        <v>176</v>
      </c>
      <c r="C351" s="1236">
        <f>IF('Operating Budget'!E96="",0,'Operating Budget'!E96)</f>
        <v>0</v>
      </c>
      <c r="D351" s="1236">
        <f t="shared" si="42"/>
        <v>0</v>
      </c>
      <c r="G351" t="s">
        <v>288</v>
      </c>
      <c r="H351">
        <f>C351</f>
        <v>0</v>
      </c>
      <c r="I351">
        <f>D351</f>
        <v>0</v>
      </c>
    </row>
    <row r="352" spans="1:9" ht="13.2" x14ac:dyDescent="0.25">
      <c r="A352" s="1236" t="s">
        <v>1537</v>
      </c>
      <c r="B352" s="1243" t="s">
        <v>69</v>
      </c>
      <c r="C352" s="1236">
        <f>IF('Operating Budget'!E98="",0,'Operating Budget'!E98)</f>
        <v>0</v>
      </c>
      <c r="D352" s="1236">
        <f t="shared" si="42"/>
        <v>0</v>
      </c>
      <c r="G352" t="s">
        <v>1579</v>
      </c>
      <c r="H352">
        <f>C352</f>
        <v>0</v>
      </c>
      <c r="I352">
        <f>D352</f>
        <v>0</v>
      </c>
    </row>
    <row r="353" spans="1:31" ht="13.2" x14ac:dyDescent="0.25">
      <c r="A353" s="1216" t="s">
        <v>1537</v>
      </c>
      <c r="B353" s="1213" t="s">
        <v>39</v>
      </c>
      <c r="C353" s="1216">
        <f>IF('Operating Budget'!E100="",0,'Operating Budget'!E100)</f>
        <v>0</v>
      </c>
      <c r="D353" s="1216">
        <f t="shared" si="42"/>
        <v>0</v>
      </c>
      <c r="G353" s="1236"/>
      <c r="H353" s="1236"/>
      <c r="I353" s="1236"/>
    </row>
    <row r="354" spans="1:31" ht="13.2" x14ac:dyDescent="0.25">
      <c r="B354" s="1213"/>
    </row>
    <row r="355" spans="1:31" ht="13.2" x14ac:dyDescent="0.25">
      <c r="B355" s="1213"/>
    </row>
    <row r="356" spans="1:31" ht="13.2" x14ac:dyDescent="0.25">
      <c r="B356" s="1213"/>
    </row>
    <row r="357" spans="1:31" ht="13.2" x14ac:dyDescent="0.25">
      <c r="B357" s="1213"/>
    </row>
    <row r="358" spans="1:31" ht="13.2" x14ac:dyDescent="0.25">
      <c r="B358" s="1213"/>
    </row>
    <row r="359" spans="1:31" ht="18" x14ac:dyDescent="0.35">
      <c r="A359" s="1224" t="s">
        <v>1670</v>
      </c>
      <c r="B359" s="1224" t="s">
        <v>1538</v>
      </c>
      <c r="C359" s="1224"/>
      <c r="D359" s="1224"/>
      <c r="G359" s="1225" t="s">
        <v>1617</v>
      </c>
      <c r="H359" s="1225" t="s">
        <v>1661</v>
      </c>
      <c r="I359" s="1225"/>
      <c r="J359" s="1225"/>
      <c r="T359" s="1197"/>
      <c r="AA359" s="1197"/>
      <c r="AB359" s="1197"/>
      <c r="AC359" s="1197"/>
      <c r="AD359" s="1197"/>
      <c r="AE359" s="1197"/>
    </row>
    <row r="360" spans="1:31" s="1197" customFormat="1" x14ac:dyDescent="0.25">
      <c r="A360" s="1197" t="s">
        <v>1178</v>
      </c>
      <c r="B360" s="1197" t="s">
        <v>1471</v>
      </c>
      <c r="C360" s="1197" t="s">
        <v>1476</v>
      </c>
      <c r="D360" s="1197" t="s">
        <v>278</v>
      </c>
      <c r="G360" s="1197" t="s">
        <v>1444</v>
      </c>
      <c r="H360" s="1197" t="s">
        <v>1251</v>
      </c>
      <c r="I360" s="1197" t="s">
        <v>1610</v>
      </c>
      <c r="J360" s="1197" t="s">
        <v>333</v>
      </c>
      <c r="T360"/>
      <c r="AA360"/>
      <c r="AB360"/>
      <c r="AC360"/>
      <c r="AD360"/>
      <c r="AE360"/>
    </row>
    <row r="361" spans="1:31" x14ac:dyDescent="0.25">
      <c r="A361" t="s">
        <v>1538</v>
      </c>
      <c r="B361" t="s">
        <v>565</v>
      </c>
      <c r="C361" t="str">
        <f>IF('Additional Op Ex Information'!G18&lt;&gt;0,CONCATENATE(IF('Additional Op Ex Information'!C8&lt;&gt;"",'Additional Op Ex Information'!C8&amp;", ",""),IF('Additional Op Ex Information'!C9&lt;&gt;"",'Additional Op Ex Information'!C9&amp;", ",""),IF('Additional Op Ex Information'!C10&lt;&gt;"",'Additional Op Ex Information'!C10&amp;", ",""),IF('Additional Op Ex Information'!C11&lt;&gt;"",'Additional Op Ex Information'!C11&amp;", ",""), ,IF('Additional Op Ex Information'!C12&lt;&gt;"",'Additional Op Ex Information'!C12&amp;", ",""),IF('Additional Op Ex Information'!C13&lt;&gt;"",'Additional Op Ex Information'!C13&amp;", ",""),,IF('Additional Op Ex Information'!C14&lt;&gt;"",'Additional Op Ex Information'!C14&amp;", ",""),IF('Additional Op Ex Information'!C15&lt;&gt;"",'Additional Op Ex Information'!C15&amp;", ",""),IF('Additional Op Ex Information'!C16&lt;&gt;"",'Additional Op Ex Information'!C16&amp;", ",""),IF('Additional Op Ex Information'!C17&lt;&gt;"",'Additional Op Ex Information'!C17&amp;", ","")),"None")</f>
        <v>None</v>
      </c>
      <c r="D361">
        <f>'Additional Op Ex Information'!G18</f>
        <v>0</v>
      </c>
      <c r="G361" t="s">
        <v>1601</v>
      </c>
      <c r="H361" t="s">
        <v>565</v>
      </c>
      <c r="I361" t="str">
        <f t="shared" ref="I361:I364" si="44">IF(C361="None", "None", LEFT(C361,LEN(TRIM(C361))-1))</f>
        <v>None</v>
      </c>
      <c r="J361">
        <f>IF(D361="","",D361)</f>
        <v>0</v>
      </c>
    </row>
    <row r="362" spans="1:31" x14ac:dyDescent="0.25">
      <c r="A362" t="s">
        <v>1538</v>
      </c>
      <c r="B362" t="s">
        <v>567</v>
      </c>
      <c r="C362" t="str">
        <f>IF('Additional Op Ex Information'!G32&lt;&gt;0,CONCATENATE(IF('Additional Op Ex Information'!C22&lt;&gt;"",'Additional Op Ex Information'!C22&amp;", ",""),IF('Additional Op Ex Information'!C23&lt;&gt;"",'Additional Op Ex Information'!C23&amp;", ",""),IF('Additional Op Ex Information'!C24&lt;&gt;"",'Additional Op Ex Information'!C24&amp;", ",""),IF('Additional Op Ex Information'!C25&lt;&gt;"",'Additional Op Ex Information'!C25&amp;", ",""), ,IF('Additional Op Ex Information'!C26&lt;&gt;"",'Additional Op Ex Information'!C26&amp;", ",""),IF('Additional Op Ex Information'!C27&lt;&gt;"",'Additional Op Ex Information'!C27&amp;", ",""),,IF('Additional Op Ex Information'!C28&lt;&gt;"",'Additional Op Ex Information'!C28&amp;", ",""),IF('Additional Op Ex Information'!C29&lt;&gt;"",'Additional Op Ex Information'!C29&amp;", ",""),IF('Additional Op Ex Information'!C30&lt;&gt;"",'Additional Op Ex Information'!C30&amp;", ",""),IF('Additional Op Ex Information'!C31&lt;&gt;"",'Additional Op Ex Information'!C31&amp;", ","")),"None")</f>
        <v>None</v>
      </c>
      <c r="D362">
        <f>'Additional Op Ex Information'!G32</f>
        <v>0</v>
      </c>
      <c r="G362" t="s">
        <v>1601</v>
      </c>
      <c r="H362" t="s">
        <v>567</v>
      </c>
      <c r="I362" t="str">
        <f t="shared" si="44"/>
        <v>None</v>
      </c>
      <c r="J362">
        <f>IF(D362="","",D362)</f>
        <v>0</v>
      </c>
    </row>
    <row r="363" spans="1:31" x14ac:dyDescent="0.25">
      <c r="A363" t="s">
        <v>1538</v>
      </c>
      <c r="B363" t="s">
        <v>1539</v>
      </c>
      <c r="C363" t="str">
        <f>IF('Additional Op Ex Information'!G46&lt;&gt;0,CONCATENATE(IF('Additional Op Ex Information'!C36&lt;&gt;"",'Additional Op Ex Information'!C36&amp;", ",""),IF('Additional Op Ex Information'!C37&lt;&gt;"",'Additional Op Ex Information'!C37&amp;", ",""),IF('Additional Op Ex Information'!C38&lt;&gt;"",'Additional Op Ex Information'!C38&amp;", ",""),IF('Additional Op Ex Information'!C39&lt;&gt;"",'Additional Op Ex Information'!C39&amp;", ",""), ,IF('Additional Op Ex Information'!C40&lt;&gt;"",'Additional Op Ex Information'!C40&amp;", ",""),IF('Additional Op Ex Information'!C41&lt;&gt;"",'Additional Op Ex Information'!C41&amp;", ",""),,IF('Additional Op Ex Information'!C42&lt;&gt;"",'Additional Op Ex Information'!C42&amp;", ",""),IF('Additional Op Ex Information'!C43&lt;&gt;"",'Additional Op Ex Information'!C43&amp;", ",""),IF('Additional Op Ex Information'!C44&lt;&gt;"",'Additional Op Ex Information'!C44&amp;", ",""),IF('Additional Op Ex Information'!C45&lt;&gt;"",'Additional Op Ex Information'!C45&amp;", ","")),"None")</f>
        <v>None</v>
      </c>
      <c r="D363">
        <f>'Additional Op Ex Information'!G46</f>
        <v>0</v>
      </c>
      <c r="G363" t="s">
        <v>1601</v>
      </c>
      <c r="H363" t="s">
        <v>1539</v>
      </c>
      <c r="I363" t="str">
        <f t="shared" si="44"/>
        <v>None</v>
      </c>
      <c r="J363">
        <f t="shared" ref="J363:J365" si="45">IF(D363="","",D363)</f>
        <v>0</v>
      </c>
    </row>
    <row r="364" spans="1:31" x14ac:dyDescent="0.25">
      <c r="A364" t="s">
        <v>1538</v>
      </c>
      <c r="B364" t="s">
        <v>1540</v>
      </c>
      <c r="C364" t="str">
        <f>IF('Additional Op Ex Information'!G60&lt;&gt;0,CONCATENATE(IF('Additional Op Ex Information'!C50&lt;&gt;"",'Additional Op Ex Information'!C50&amp;", ",""),IF('Additional Op Ex Information'!C51&lt;&gt;"",'Additional Op Ex Information'!C51&amp;", ",""),IF('Additional Op Ex Information'!C52&lt;&gt;"",'Additional Op Ex Information'!C52&amp;", ",""),IF('Additional Op Ex Information'!C53&lt;&gt;"",'Additional Op Ex Information'!C53&amp;", ",""), ,IF('Additional Op Ex Information'!C54&lt;&gt;"",'Additional Op Ex Information'!C54&amp;", ",""),IF('Additional Op Ex Information'!C55&lt;&gt;"",'Additional Op Ex Information'!C55&amp;", ",""),,IF('Additional Op Ex Information'!C56&lt;&gt;"",'Additional Op Ex Information'!C56&amp;", ",""),IF('Additional Op Ex Information'!C57&lt;&gt;"",'Additional Op Ex Information'!C57&amp;", ",""),IF('Additional Op Ex Information'!C58&lt;&gt;"",'Additional Op Ex Information'!C58&amp;", ",""),IF('Additional Op Ex Information'!C59&lt;&gt;"",'Additional Op Ex Information'!C59&amp;", ","")),"None")</f>
        <v>None</v>
      </c>
      <c r="D364">
        <f>'Additional Op Ex Information'!G60</f>
        <v>0</v>
      </c>
      <c r="G364" t="s">
        <v>1601</v>
      </c>
      <c r="H364" t="s">
        <v>1540</v>
      </c>
      <c r="I364" t="str">
        <f t="shared" si="44"/>
        <v>None</v>
      </c>
      <c r="J364">
        <f t="shared" si="45"/>
        <v>0</v>
      </c>
    </row>
    <row r="365" spans="1:31" x14ac:dyDescent="0.25">
      <c r="A365" t="s">
        <v>1538</v>
      </c>
      <c r="B365" t="s">
        <v>569</v>
      </c>
      <c r="C365" t="str">
        <f>IF('Additional Op Ex Information'!G74&lt;&gt;0,CONCATENATE(IF('Additional Op Ex Information'!C64&lt;&gt;"",'Additional Op Ex Information'!C64&amp;", ",""),IF('Additional Op Ex Information'!C65&lt;&gt;"",'Additional Op Ex Information'!C65&amp;", ",""),IF('Additional Op Ex Information'!C66&lt;&gt;"",'Additional Op Ex Information'!C66&amp;", ",""),IF('Additional Op Ex Information'!C67&lt;&gt;"",'Additional Op Ex Information'!C67&amp;", ",""), ,IF('Additional Op Ex Information'!C68&lt;&gt;"",'Additional Op Ex Information'!C68&amp;", ",""),IF('Additional Op Ex Information'!C69&lt;&gt;"",'Additional Op Ex Information'!C69&amp;", ",""),,IF('Additional Op Ex Information'!C70&lt;&gt;"",'Additional Op Ex Information'!C70&amp;", ",""),IF('Additional Op Ex Information'!C71&lt;&gt;"",'Additional Op Ex Information'!C71&amp;", ",""),IF('Additional Op Ex Information'!C72&lt;&gt;"",'Additional Op Ex Information'!C72&amp;", ",""),IF('Additional Op Ex Information'!C73&lt;&gt;"",'Additional Op Ex Information'!C73&amp;", ","")),"None")</f>
        <v>None</v>
      </c>
      <c r="D365">
        <f>'Additional Op Ex Information'!G74</f>
        <v>0</v>
      </c>
      <c r="G365" t="s">
        <v>1601</v>
      </c>
      <c r="H365" t="s">
        <v>569</v>
      </c>
      <c r="I365" t="str">
        <f>IF(C365="None", "None", LEFT(C365,LEN(TRIM(C365))-1))</f>
        <v>None</v>
      </c>
      <c r="J365">
        <f t="shared" si="45"/>
        <v>0</v>
      </c>
    </row>
    <row r="368" spans="1:31" ht="18" x14ac:dyDescent="0.35">
      <c r="A368" s="1224" t="s">
        <v>1673</v>
      </c>
      <c r="B368" s="1224" t="s">
        <v>1672</v>
      </c>
      <c r="C368" s="1224"/>
      <c r="G368" s="1226" t="s">
        <v>1662</v>
      </c>
      <c r="H368" s="1226"/>
      <c r="I368" s="1226"/>
      <c r="T368" s="1197"/>
      <c r="AA368" s="1197"/>
      <c r="AB368" s="1197"/>
      <c r="AC368" s="1197"/>
      <c r="AD368" s="1197"/>
      <c r="AE368" s="1197"/>
    </row>
    <row r="369" spans="1:31" s="1197" customFormat="1" x14ac:dyDescent="0.25">
      <c r="A369" s="1197" t="s">
        <v>1178</v>
      </c>
      <c r="B369" s="1197" t="s">
        <v>1229</v>
      </c>
      <c r="C369" s="1197" t="s">
        <v>1145</v>
      </c>
      <c r="G369" s="1197" t="s">
        <v>1444</v>
      </c>
      <c r="H369" s="1197" t="s">
        <v>1251</v>
      </c>
      <c r="I369" s="1197" t="s">
        <v>1145</v>
      </c>
      <c r="T369"/>
      <c r="AA369"/>
      <c r="AB369"/>
      <c r="AC369"/>
      <c r="AD369"/>
      <c r="AE369"/>
    </row>
    <row r="370" spans="1:31" x14ac:dyDescent="0.25">
      <c r="A370" t="s">
        <v>1185</v>
      </c>
      <c r="B370" t="s">
        <v>1496</v>
      </c>
      <c r="C370" t="str">
        <f ca="1">IF('MH Underwriting'!H234=0,"",'MH Underwriting'!H234)</f>
        <v/>
      </c>
      <c r="G370" t="s">
        <v>1461</v>
      </c>
      <c r="H370" t="s">
        <v>1499</v>
      </c>
      <c r="I370" t="str">
        <f ca="1">IF(C370="","",C370)</f>
        <v/>
      </c>
    </row>
    <row r="371" spans="1:31" x14ac:dyDescent="0.25">
      <c r="A371" t="s">
        <v>1185</v>
      </c>
      <c r="B371" t="s">
        <v>1498</v>
      </c>
      <c r="C371" t="str">
        <f>IF('MH Underwriting'!J234=0,"",'MH Underwriting'!J234)</f>
        <v/>
      </c>
      <c r="G371" t="s">
        <v>1461</v>
      </c>
      <c r="H371" t="s">
        <v>1500</v>
      </c>
      <c r="I371" t="str">
        <f>IF(C371="","",C371)</f>
        <v/>
      </c>
    </row>
    <row r="372" spans="1:31" x14ac:dyDescent="0.25">
      <c r="A372" t="s">
        <v>1185</v>
      </c>
      <c r="B372" t="s">
        <v>1497</v>
      </c>
      <c r="C372" t="str">
        <f ca="1">IF('MH Underwriting'!L275=0,"",'MH Underwriting'!L275)</f>
        <v/>
      </c>
      <c r="G372" t="s">
        <v>1461</v>
      </c>
      <c r="H372" t="s">
        <v>1501</v>
      </c>
      <c r="I372" t="str">
        <f ca="1">IF(C372="","",C372)</f>
        <v/>
      </c>
    </row>
    <row r="375" spans="1:31" ht="18" x14ac:dyDescent="0.35">
      <c r="A375" s="1224" t="s">
        <v>1674</v>
      </c>
      <c r="B375" s="1224" t="s">
        <v>812</v>
      </c>
      <c r="C375" s="1224"/>
      <c r="G375" s="1225" t="s">
        <v>1617</v>
      </c>
      <c r="H375" s="1225" t="s">
        <v>1661</v>
      </c>
      <c r="I375" s="1225"/>
      <c r="T375" s="1197"/>
      <c r="AA375" s="1197"/>
      <c r="AB375" s="1197"/>
      <c r="AC375" s="1197"/>
      <c r="AD375" s="1197"/>
      <c r="AE375" s="1197"/>
    </row>
    <row r="376" spans="1:31" s="1197" customFormat="1" x14ac:dyDescent="0.25">
      <c r="A376" s="1197" t="s">
        <v>1178</v>
      </c>
      <c r="B376" s="1197" t="s">
        <v>1229</v>
      </c>
      <c r="C376" s="1197" t="s">
        <v>1145</v>
      </c>
      <c r="G376" s="1197" t="s">
        <v>1444</v>
      </c>
      <c r="H376" s="1197" t="s">
        <v>1251</v>
      </c>
      <c r="I376" s="1197" t="s">
        <v>1145</v>
      </c>
      <c r="T376"/>
      <c r="AA376"/>
      <c r="AB376"/>
      <c r="AC376"/>
      <c r="AD376"/>
      <c r="AE376"/>
    </row>
    <row r="377" spans="1:31" x14ac:dyDescent="0.25">
      <c r="A377" t="s">
        <v>1583</v>
      </c>
      <c r="B377" t="s">
        <v>945</v>
      </c>
      <c r="C377" s="1217" t="str">
        <f>IF('Project Completion Sch'!G11="","",'Project Completion Sch'!G11)</f>
        <v/>
      </c>
      <c r="G377" t="s">
        <v>1601</v>
      </c>
      <c r="H377" t="s">
        <v>1595</v>
      </c>
      <c r="I377" s="1217" t="str">
        <f>IF(ISNUMBER(C377),C377,"")</f>
        <v/>
      </c>
    </row>
    <row r="378" spans="1:31" x14ac:dyDescent="0.25">
      <c r="A378" t="s">
        <v>1583</v>
      </c>
      <c r="B378" t="s">
        <v>946</v>
      </c>
      <c r="C378" s="1217" t="str">
        <f>IF('Project Completion Sch'!G13="","",'Project Completion Sch'!G13)</f>
        <v/>
      </c>
      <c r="G378" t="s">
        <v>1601</v>
      </c>
      <c r="H378" t="s">
        <v>946</v>
      </c>
      <c r="I378" s="1217" t="str">
        <f t="shared" ref="I378:I391" si="46">IF(ISNUMBER(C378),C378,"")</f>
        <v/>
      </c>
    </row>
    <row r="379" spans="1:31" x14ac:dyDescent="0.25">
      <c r="A379" t="s">
        <v>1583</v>
      </c>
      <c r="B379" t="s">
        <v>947</v>
      </c>
      <c r="C379" s="1217" t="str">
        <f>IF('Project Completion Sch'!G13="","",'Project Completion Sch'!G13)</f>
        <v/>
      </c>
      <c r="G379" t="s">
        <v>1601</v>
      </c>
      <c r="H379" t="s">
        <v>947</v>
      </c>
      <c r="I379" s="1217" t="str">
        <f t="shared" si="46"/>
        <v/>
      </c>
    </row>
    <row r="380" spans="1:31" x14ac:dyDescent="0.25">
      <c r="A380" t="s">
        <v>1583</v>
      </c>
      <c r="B380" t="s">
        <v>948</v>
      </c>
      <c r="C380" s="1217" t="str">
        <f>IF('Project Completion Sch'!G13="","",'Project Completion Sch'!G13)</f>
        <v/>
      </c>
      <c r="G380" t="s">
        <v>1601</v>
      </c>
      <c r="H380" t="s">
        <v>948</v>
      </c>
      <c r="I380" s="1217" t="str">
        <f t="shared" si="46"/>
        <v/>
      </c>
    </row>
    <row r="381" spans="1:31" x14ac:dyDescent="0.25">
      <c r="A381" t="s">
        <v>1583</v>
      </c>
      <c r="B381" t="s">
        <v>950</v>
      </c>
      <c r="C381" s="1217" t="str">
        <f>IF('Project Completion Sch'!G21="","",'Project Completion Sch'!G21)</f>
        <v/>
      </c>
      <c r="G381" t="s">
        <v>1601</v>
      </c>
      <c r="H381" t="s">
        <v>950</v>
      </c>
      <c r="I381" s="1217" t="str">
        <f t="shared" si="46"/>
        <v/>
      </c>
    </row>
    <row r="382" spans="1:31" x14ac:dyDescent="0.25">
      <c r="A382" t="s">
        <v>1583</v>
      </c>
      <c r="B382" t="s">
        <v>951</v>
      </c>
      <c r="C382" s="1217" t="str">
        <f>IF('Project Completion Sch'!G23="","",'Project Completion Sch'!G23)</f>
        <v/>
      </c>
      <c r="G382" t="s">
        <v>1601</v>
      </c>
      <c r="H382" t="s">
        <v>951</v>
      </c>
      <c r="I382" s="1217" t="str">
        <f t="shared" si="46"/>
        <v/>
      </c>
    </row>
    <row r="383" spans="1:31" x14ac:dyDescent="0.25">
      <c r="A383" t="s">
        <v>1583</v>
      </c>
      <c r="B383" t="s">
        <v>952</v>
      </c>
      <c r="C383" s="1217" t="str">
        <f>IF('Project Completion Sch'!G25="","",'Project Completion Sch'!G25)</f>
        <v/>
      </c>
      <c r="G383" t="s">
        <v>1601</v>
      </c>
      <c r="H383" t="s">
        <v>952</v>
      </c>
      <c r="I383" s="1217" t="str">
        <f t="shared" si="46"/>
        <v/>
      </c>
    </row>
    <row r="384" spans="1:31" x14ac:dyDescent="0.25">
      <c r="A384" t="s">
        <v>1583</v>
      </c>
      <c r="B384" t="s">
        <v>1584</v>
      </c>
      <c r="C384" s="1217" t="str">
        <f>IF('Project Completion Sch'!G29="","",'Project Completion Sch'!G29)</f>
        <v/>
      </c>
      <c r="G384" t="s">
        <v>1601</v>
      </c>
      <c r="H384" t="s">
        <v>1584</v>
      </c>
      <c r="I384" s="1217" t="str">
        <f t="shared" si="46"/>
        <v/>
      </c>
    </row>
    <row r="385" spans="1:9" x14ac:dyDescent="0.25">
      <c r="A385" t="s">
        <v>1583</v>
      </c>
      <c r="B385" t="s">
        <v>1585</v>
      </c>
      <c r="C385" s="1217" t="str">
        <f>IF('Project Completion Sch'!G31="","",'Project Completion Sch'!G31)</f>
        <v/>
      </c>
      <c r="G385" t="s">
        <v>1601</v>
      </c>
      <c r="H385" t="s">
        <v>1585</v>
      </c>
      <c r="I385" s="1217" t="str">
        <f t="shared" si="46"/>
        <v/>
      </c>
    </row>
    <row r="386" spans="1:9" x14ac:dyDescent="0.25">
      <c r="A386" t="s">
        <v>1583</v>
      </c>
      <c r="B386" t="s">
        <v>1586</v>
      </c>
      <c r="C386" s="1217" t="str">
        <f>IF('Project Completion Sch'!G33="","",'Project Completion Sch'!G33)</f>
        <v/>
      </c>
      <c r="G386" t="s">
        <v>1601</v>
      </c>
      <c r="H386" t="s">
        <v>1586</v>
      </c>
      <c r="I386" s="1217" t="str">
        <f t="shared" si="46"/>
        <v/>
      </c>
    </row>
    <row r="387" spans="1:9" x14ac:dyDescent="0.25">
      <c r="A387" t="s">
        <v>1583</v>
      </c>
      <c r="B387" t="s">
        <v>954</v>
      </c>
      <c r="C387" s="1217" t="str">
        <f>IF('Project Completion Sch'!G35="","",'Project Completion Sch'!G35)</f>
        <v/>
      </c>
      <c r="G387" t="s">
        <v>1601</v>
      </c>
      <c r="H387" t="s">
        <v>1596</v>
      </c>
      <c r="I387" s="1217" t="str">
        <f t="shared" si="46"/>
        <v/>
      </c>
    </row>
    <row r="388" spans="1:9" x14ac:dyDescent="0.25">
      <c r="A388" t="s">
        <v>1583</v>
      </c>
      <c r="B388" t="s">
        <v>955</v>
      </c>
      <c r="C388" s="1217" t="str">
        <f>IF('Project Completion Sch'!G37="","",'Project Completion Sch'!G37)</f>
        <v/>
      </c>
      <c r="G388" t="s">
        <v>1601</v>
      </c>
      <c r="H388" t="s">
        <v>1597</v>
      </c>
      <c r="I388" s="1217" t="str">
        <f>IF(ISNUMBER(C388),C388,"")</f>
        <v/>
      </c>
    </row>
    <row r="389" spans="1:9" x14ac:dyDescent="0.25">
      <c r="A389" t="s">
        <v>1583</v>
      </c>
      <c r="B389" t="s">
        <v>956</v>
      </c>
      <c r="C389" s="1217" t="str">
        <f>IF('Project Completion Sch'!G39="","",'Project Completion Sch'!G39)</f>
        <v/>
      </c>
      <c r="G389" t="s">
        <v>1601</v>
      </c>
      <c r="H389" t="s">
        <v>1598</v>
      </c>
      <c r="I389" s="1217" t="str">
        <f t="shared" si="46"/>
        <v/>
      </c>
    </row>
    <row r="390" spans="1:9" x14ac:dyDescent="0.25">
      <c r="A390" t="s">
        <v>1583</v>
      </c>
      <c r="B390" t="s">
        <v>958</v>
      </c>
      <c r="C390" s="1217" t="str">
        <f>IF('Project Completion Sch'!G43="","",'Project Completion Sch'!G43)</f>
        <v/>
      </c>
      <c r="G390" t="s">
        <v>1601</v>
      </c>
      <c r="H390" t="s">
        <v>1599</v>
      </c>
      <c r="I390" s="1217" t="str">
        <f t="shared" si="46"/>
        <v/>
      </c>
    </row>
    <row r="391" spans="1:9" x14ac:dyDescent="0.25">
      <c r="A391" t="s">
        <v>1583</v>
      </c>
      <c r="B391" t="s">
        <v>959</v>
      </c>
      <c r="C391" s="1217" t="str">
        <f>IF('Project Completion Sch'!G45="","",'Project Completion Sch'!G45)</f>
        <v/>
      </c>
      <c r="G391" t="s">
        <v>1601</v>
      </c>
      <c r="H391" t="s">
        <v>1600</v>
      </c>
      <c r="I391" s="1217" t="str">
        <f t="shared" si="46"/>
        <v/>
      </c>
    </row>
  </sheetData>
  <sortState xmlns:xlrd2="http://schemas.microsoft.com/office/spreadsheetml/2017/richdata2" ref="R43:R63">
    <sortCondition ref="R43:R63"/>
  </sortState>
  <phoneticPr fontId="87" type="noConversion"/>
  <dataValidations count="17">
    <dataValidation type="list" errorStyle="warning" showInputMessage="1" showErrorMessage="1" errorTitle="SmartDox" error="The value you entered for the dropdown is not valid." sqref="M205" xr:uid="{00000000-0002-0000-2100-000000000000}">
      <formula1>SD_D_Blank</formula1>
    </dataValidation>
    <dataValidation type="list" errorStyle="warning" showInputMessage="1" showErrorMessage="1" errorTitle="SmartDox" error="The value you entered for the dropdown is not valid." sqref="I13:J13" xr:uid="{00000000-0002-0000-2100-000001000000}">
      <formula1>SD_D_PL_DEVDealType_Name</formula1>
    </dataValidation>
    <dataValidation type="list" errorStyle="warning" showInputMessage="1" showErrorMessage="1" errorTitle="SmartDox" error="The value you entered for the dropdown is not valid." sqref="M19 I19:J19" xr:uid="{00000000-0002-0000-2100-000002000000}">
      <formula1>SD_D_PL_BuildingType_Name</formula1>
    </dataValidation>
    <dataValidation type="list" errorStyle="warning" showInputMessage="1" showErrorMessage="1" errorTitle="SmartDox" error="The value you entered for the dropdown is not valid." sqref="M11 I11:J11" xr:uid="{00000000-0002-0000-2100-000003000000}">
      <formula1>SD_D_PL_Jurisdiction_Name</formula1>
    </dataValidation>
    <dataValidation type="list" errorStyle="warning" showInputMessage="1" showErrorMessage="1" errorTitle="SmartDox" error="The value you entered for the dropdown is not valid." sqref="H39:H40 I35:I38" xr:uid="{00000000-0002-0000-2100-000004000000}">
      <formula1>SD_D_PL_RestrictionType_Name</formula1>
    </dataValidation>
    <dataValidation type="list" errorStyle="warning" showInputMessage="1" showErrorMessage="1" errorTitle="SmartDox" error="The value you entered for the dropdown is not valid." sqref="Q205 Q183:Q203" xr:uid="{00000000-0002-0000-2100-000005000000}">
      <formula1>SD_D_PL_ProgramType_Name</formula1>
    </dataValidation>
    <dataValidation type="list" errorStyle="warning" showInputMessage="1" showErrorMessage="1" errorTitle="SmartDox" error="The value you entered for the dropdown is not valid." sqref="N205 N183:N203" xr:uid="{00000000-0002-0000-2100-000006000000}">
      <formula1>SD_D_PL_InstrumentType_Name</formula1>
    </dataValidation>
    <dataValidation type="list" errorStyle="warning" showInputMessage="1" showErrorMessage="1" errorTitle="SmartDox" error="The value you entered for the dropdown is not valid." sqref="W205 W183:W203" xr:uid="{00000000-0002-0000-2100-000007000000}">
      <formula1>SD_D_PL_FinancingType_Name</formula1>
    </dataValidation>
    <dataValidation type="list" errorStyle="warning" showInputMessage="1" showErrorMessage="1" errorTitle="SmartDox" error="The value you entered for the dropdown is not valid." sqref="H232:H254" xr:uid="{00000000-0002-0000-2100-000008000000}">
      <formula1>SD_D_PL_UnitMixAmiPercent_Name</formula1>
    </dataValidation>
    <dataValidation type="list" errorStyle="warning" showInputMessage="1" showErrorMessage="1" errorTitle="SmartDox" error="The value you entered for the dropdown is not valid." sqref="G232:G254" xr:uid="{00000000-0002-0000-2100-000009000000}">
      <formula1>SD_D_PL_UnitType_Name</formula1>
    </dataValidation>
    <dataValidation type="list" errorStyle="warning" showInputMessage="1" showErrorMessage="1" errorTitle="SmartDox" error="The value you entered for the dropdown is not valid." sqref="M20" xr:uid="{00000000-0002-0000-2100-00000A000000}">
      <formula1>SD_D_PL_SiteControlType_Name</formula1>
    </dataValidation>
    <dataValidation type="list" errorStyle="warning" showInputMessage="1" showErrorMessage="1" errorTitle="SmartDox" error="The value you entered for the dropdown is not valid." sqref="M13" xr:uid="{00000000-0002-0000-2100-00000B000000}">
      <formula1>SD_D_PL_BldgAllocType_Name</formula1>
    </dataValidation>
    <dataValidation type="list" errorStyle="warning" showInputMessage="1" showErrorMessage="1" errorTitle="SmartDox" error="The value you entered for the dropdown is not valid." sqref="L232:L254" xr:uid="{00000000-0002-0000-2100-00000C000000}">
      <formula1>SD_D_PL_TCUnitMixType_Name</formula1>
    </dataValidation>
    <dataValidation type="list" errorStyle="warning" showInputMessage="1" showErrorMessage="1" errorTitle="SmartDox" error="The value you entered for the dropdown is not valid." sqref="M232:M254" xr:uid="{00000000-0002-0000-2100-00000D000000}">
      <formula1>SD_D_PL_IncomeTarget_Name</formula1>
    </dataValidation>
    <dataValidation type="list" errorStyle="warning" showInputMessage="1" showErrorMessage="1" errorTitle="SmartDox" error="The value you entered for the dropdown is not valid." sqref="J44:J54 Q44:Q54" xr:uid="{00000000-0002-0000-2100-00000E000000}">
      <formula1>SD_D_PL_EntityCompanyOrIndividual_Name</formula1>
    </dataValidation>
    <dataValidation type="list" errorStyle="warning" showInputMessage="1" showErrorMessage="1" errorTitle="SmartDox" error="The value you entered for the dropdown is not valid." sqref="H44:H54 O44:O54" xr:uid="{00000000-0002-0000-2100-00000F000000}">
      <formula1>SD_D_PL_DealEntityRole_Name</formula1>
    </dataValidation>
    <dataValidation type="list" errorStyle="warning" showInputMessage="1" showErrorMessage="1" errorTitle="SmartDox" error="The value you entered for the dropdown is not valid." sqref="M183:M203" xr:uid="{00000000-0002-0000-2100-000010000000}">
      <formula1>SD_D_AllDEVFundingSourcesForSmartDox_Name</formula1>
    </dataValidation>
  </dataValidations>
  <hyperlinks>
    <hyperlink ref="D2" location="Mapping!A7" display="Project Information" xr:uid="{00000000-0004-0000-2100-000000000000}"/>
    <hyperlink ref="D3" location="Mapping!A42" display="Applicant Information" xr:uid="{00000000-0004-0000-2100-000001000000}"/>
    <hyperlink ref="D4" location="Mapping!A77" display="Pro Forma Development Budget" xr:uid="{00000000-0004-0000-2100-000002000000}"/>
    <hyperlink ref="F2" location="Mapping!A129" display="Project Costs and Eligible Basis" xr:uid="{00000000-0004-0000-2100-000003000000}"/>
    <hyperlink ref="F3" location="Mapping!A177" display="Flow of Funds - Sources" xr:uid="{00000000-0004-0000-2100-000004000000}"/>
    <hyperlink ref="F4" location="Mapping!A206" display="Additional Project Cost Information" xr:uid="{00000000-0004-0000-2100-000005000000}"/>
    <hyperlink ref="H2" location="Mapping!A216" display="TDC per Unit" xr:uid="{00000000-0004-0000-2100-000006000000}"/>
    <hyperlink ref="H3" location="Mapping!A224" display="Project Income" xr:uid="{00000000-0004-0000-2100-000007000000}"/>
    <hyperlink ref="H4" location="Mapping!A252" display="Operating Income and Expenses" xr:uid="{00000000-0004-0000-2100-000008000000}"/>
    <hyperlink ref="J2" location="Mapping!A297" display="Operating Expenses" xr:uid="{00000000-0004-0000-2100-000009000000}"/>
    <hyperlink ref="J3" location="Mapping!A353" display="Additional Op Ex Information" xr:uid="{00000000-0004-0000-2100-00000A000000}"/>
    <hyperlink ref="J4" location="Mapping!A362" display="DCR" xr:uid="{00000000-0004-0000-2100-00000B000000}"/>
    <hyperlink ref="L2" location="Mapping!A369" display="Project Completion Schedule" xr:uid="{00000000-0004-0000-2100-00000C000000}"/>
  </hyperlinks>
  <pageMargins left="0.7" right="0.7" top="0.75" bottom="0.75" header="0.3" footer="0.3"/>
  <legacyDrawing r:id="rId1"/>
  <tableParts count="34">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4"/>
  <dimension ref="C2:AH56"/>
  <sheetViews>
    <sheetView workbookViewId="0">
      <selection activeCell="L30" sqref="L30"/>
    </sheetView>
  </sheetViews>
  <sheetFormatPr defaultRowHeight="12.6" x14ac:dyDescent="0.25"/>
  <sheetData>
    <row r="2" spans="3:34" x14ac:dyDescent="0.25">
      <c r="C2" s="1198" t="s">
        <v>540</v>
      </c>
      <c r="D2">
        <v>3</v>
      </c>
      <c r="E2" s="1198" t="s">
        <v>1714</v>
      </c>
      <c r="F2">
        <v>1</v>
      </c>
      <c r="G2" s="1198" t="s">
        <v>1680</v>
      </c>
      <c r="H2">
        <v>7</v>
      </c>
      <c r="I2" s="1198" t="s">
        <v>1308</v>
      </c>
      <c r="J2">
        <v>5</v>
      </c>
      <c r="K2" s="1198" t="s">
        <v>608</v>
      </c>
      <c r="L2">
        <v>12</v>
      </c>
      <c r="M2" s="1198" t="s">
        <v>1491</v>
      </c>
      <c r="N2">
        <v>1</v>
      </c>
      <c r="O2" s="1198" t="s">
        <v>348</v>
      </c>
      <c r="P2">
        <v>11</v>
      </c>
      <c r="Q2" s="1198" t="s">
        <v>1477</v>
      </c>
      <c r="R2">
        <v>1</v>
      </c>
      <c r="S2" s="1198" t="s">
        <v>738</v>
      </c>
      <c r="T2">
        <v>9</v>
      </c>
      <c r="U2" s="1198" t="s">
        <v>540</v>
      </c>
      <c r="V2">
        <v>2</v>
      </c>
      <c r="W2" s="1198" t="s">
        <v>1428</v>
      </c>
      <c r="X2">
        <v>1</v>
      </c>
      <c r="Y2" s="1198" t="s">
        <v>1308</v>
      </c>
      <c r="Z2">
        <v>1</v>
      </c>
      <c r="AA2" s="1198" t="s">
        <v>1680</v>
      </c>
      <c r="AB2">
        <v>11</v>
      </c>
      <c r="AC2" s="1198" t="s">
        <v>1272</v>
      </c>
      <c r="AD2">
        <v>1</v>
      </c>
      <c r="AE2" s="1198" t="s">
        <v>1273</v>
      </c>
      <c r="AF2">
        <v>27</v>
      </c>
      <c r="AG2" s="1198" t="s">
        <v>1729</v>
      </c>
      <c r="AH2">
        <v>34</v>
      </c>
    </row>
    <row r="3" spans="3:34" x14ac:dyDescent="0.25">
      <c r="C3" s="1198" t="s">
        <v>1006</v>
      </c>
      <c r="D3">
        <v>5</v>
      </c>
      <c r="E3" s="1198" t="s">
        <v>1715</v>
      </c>
      <c r="F3">
        <v>2</v>
      </c>
      <c r="G3" s="1198" t="s">
        <v>1676</v>
      </c>
      <c r="H3">
        <v>8</v>
      </c>
      <c r="I3" s="1198" t="s">
        <v>1309</v>
      </c>
      <c r="J3">
        <v>38</v>
      </c>
      <c r="K3" s="1198" t="s">
        <v>1452</v>
      </c>
      <c r="L3">
        <v>5</v>
      </c>
      <c r="M3" s="1198" t="s">
        <v>1492</v>
      </c>
      <c r="N3">
        <v>2</v>
      </c>
      <c r="O3" s="1198" t="s">
        <v>320</v>
      </c>
      <c r="P3">
        <v>2</v>
      </c>
      <c r="Q3" s="1198" t="s">
        <v>1478</v>
      </c>
      <c r="R3">
        <v>2</v>
      </c>
      <c r="S3" s="1198" t="s">
        <v>739</v>
      </c>
      <c r="T3">
        <v>5</v>
      </c>
      <c r="U3" s="1198" t="s">
        <v>1006</v>
      </c>
      <c r="V3">
        <v>6</v>
      </c>
      <c r="W3" s="1198" t="s">
        <v>1429</v>
      </c>
      <c r="X3">
        <v>2</v>
      </c>
      <c r="Y3" s="1198" t="s">
        <v>1349</v>
      </c>
      <c r="Z3">
        <v>2</v>
      </c>
      <c r="AA3" s="1198" t="s">
        <v>1676</v>
      </c>
      <c r="AB3">
        <v>1</v>
      </c>
      <c r="AC3" s="1198" t="s">
        <v>758</v>
      </c>
      <c r="AD3">
        <v>2</v>
      </c>
      <c r="AE3" s="1198" t="s">
        <v>307</v>
      </c>
      <c r="AF3">
        <v>-1</v>
      </c>
      <c r="AG3" s="1198" t="s">
        <v>1730</v>
      </c>
      <c r="AH3">
        <v>1</v>
      </c>
    </row>
    <row r="4" spans="3:34" x14ac:dyDescent="0.25">
      <c r="C4" s="1198" t="s">
        <v>701</v>
      </c>
      <c r="D4">
        <v>4</v>
      </c>
      <c r="E4" s="1198" t="s">
        <v>1709</v>
      </c>
      <c r="F4">
        <v>3</v>
      </c>
      <c r="G4" s="1198" t="s">
        <v>1593</v>
      </c>
      <c r="H4">
        <v>9</v>
      </c>
      <c r="I4" s="1198" t="s">
        <v>1310</v>
      </c>
      <c r="J4">
        <v>6</v>
      </c>
      <c r="K4" s="1198" t="s">
        <v>613</v>
      </c>
      <c r="L4">
        <v>15</v>
      </c>
      <c r="M4" s="1198" t="s">
        <v>1493</v>
      </c>
      <c r="N4">
        <v>3</v>
      </c>
      <c r="O4" s="1198" t="s">
        <v>1428</v>
      </c>
      <c r="P4">
        <v>12</v>
      </c>
      <c r="Q4" s="1198" t="s">
        <v>1479</v>
      </c>
      <c r="R4">
        <v>3</v>
      </c>
      <c r="S4" s="1198" t="s">
        <v>1682</v>
      </c>
      <c r="T4">
        <v>6</v>
      </c>
      <c r="U4" s="1198" t="s">
        <v>701</v>
      </c>
      <c r="V4">
        <v>3</v>
      </c>
      <c r="W4" s="1198" t="s">
        <v>320</v>
      </c>
      <c r="X4">
        <v>3</v>
      </c>
      <c r="Y4" s="1198" t="s">
        <v>1350</v>
      </c>
      <c r="Z4">
        <v>3</v>
      </c>
      <c r="AA4" s="1198" t="s">
        <v>1593</v>
      </c>
      <c r="AB4">
        <v>2</v>
      </c>
      <c r="AE4" s="1198" t="s">
        <v>1544</v>
      </c>
      <c r="AF4">
        <v>39</v>
      </c>
      <c r="AG4" s="1198" t="s">
        <v>1731</v>
      </c>
      <c r="AH4">
        <v>2</v>
      </c>
    </row>
    <row r="5" spans="3:34" x14ac:dyDescent="0.25">
      <c r="C5" s="1198" t="s">
        <v>618</v>
      </c>
      <c r="D5">
        <v>6</v>
      </c>
      <c r="E5" s="1198" t="s">
        <v>1716</v>
      </c>
      <c r="F5">
        <v>4</v>
      </c>
      <c r="G5" s="1198" t="s">
        <v>1594</v>
      </c>
      <c r="H5">
        <v>10</v>
      </c>
      <c r="I5" s="1198" t="s">
        <v>1311</v>
      </c>
      <c r="J5">
        <v>7</v>
      </c>
      <c r="K5" s="1198" t="s">
        <v>1453</v>
      </c>
      <c r="L5">
        <v>6</v>
      </c>
      <c r="M5" s="1198" t="s">
        <v>1681</v>
      </c>
      <c r="N5">
        <v>5</v>
      </c>
      <c r="O5" s="1198" t="s">
        <v>1484</v>
      </c>
      <c r="P5">
        <v>10</v>
      </c>
      <c r="Q5" s="1198" t="s">
        <v>1480</v>
      </c>
      <c r="R5">
        <v>4</v>
      </c>
      <c r="S5" s="1198" t="s">
        <v>741</v>
      </c>
      <c r="T5">
        <v>7</v>
      </c>
      <c r="U5" s="1198" t="s">
        <v>618</v>
      </c>
      <c r="V5">
        <v>4</v>
      </c>
      <c r="Y5" s="1198" t="s">
        <v>1351</v>
      </c>
      <c r="Z5">
        <v>4</v>
      </c>
      <c r="AA5" s="1198" t="s">
        <v>1594</v>
      </c>
      <c r="AB5">
        <v>3</v>
      </c>
      <c r="AE5" s="1198" t="s">
        <v>1550</v>
      </c>
      <c r="AF5">
        <v>55</v>
      </c>
      <c r="AG5" s="1198" t="s">
        <v>1732</v>
      </c>
      <c r="AH5">
        <v>3</v>
      </c>
    </row>
    <row r="6" spans="3:34" x14ac:dyDescent="0.25">
      <c r="C6" s="1198" t="s">
        <v>702</v>
      </c>
      <c r="D6">
        <v>7</v>
      </c>
      <c r="E6" s="1198" t="s">
        <v>1717</v>
      </c>
      <c r="F6">
        <v>5</v>
      </c>
      <c r="G6" s="1198" t="s">
        <v>1340</v>
      </c>
      <c r="H6">
        <v>11</v>
      </c>
      <c r="I6" s="1198" t="s">
        <v>1312</v>
      </c>
      <c r="J6">
        <v>8</v>
      </c>
      <c r="K6" s="1198" t="s">
        <v>1454</v>
      </c>
      <c r="L6">
        <v>7</v>
      </c>
      <c r="M6" s="1198" t="s">
        <v>1494</v>
      </c>
      <c r="N6">
        <v>4</v>
      </c>
      <c r="Q6" s="1198" t="s">
        <v>1481</v>
      </c>
      <c r="R6">
        <v>5</v>
      </c>
      <c r="S6" s="1198" t="s">
        <v>740</v>
      </c>
      <c r="T6">
        <v>8</v>
      </c>
      <c r="U6" s="1198" t="s">
        <v>702</v>
      </c>
      <c r="V6">
        <v>5</v>
      </c>
      <c r="Y6" s="1198" t="s">
        <v>1352</v>
      </c>
      <c r="Z6">
        <v>5</v>
      </c>
      <c r="AA6" s="1198" t="s">
        <v>1340</v>
      </c>
      <c r="AB6">
        <v>12</v>
      </c>
      <c r="AE6" s="1198" t="s">
        <v>1545</v>
      </c>
      <c r="AF6">
        <v>54</v>
      </c>
      <c r="AG6" s="1198" t="s">
        <v>1733</v>
      </c>
      <c r="AH6">
        <v>4</v>
      </c>
    </row>
    <row r="7" spans="3:34" x14ac:dyDescent="0.25">
      <c r="C7" s="1198" t="s">
        <v>703</v>
      </c>
      <c r="D7">
        <v>8</v>
      </c>
      <c r="E7" s="1198" t="s">
        <v>1718</v>
      </c>
      <c r="F7">
        <v>6</v>
      </c>
      <c r="G7" s="1198" t="s">
        <v>1341</v>
      </c>
      <c r="H7">
        <v>12</v>
      </c>
      <c r="I7" s="1198" t="s">
        <v>1313</v>
      </c>
      <c r="J7">
        <v>9</v>
      </c>
      <c r="K7" s="1198" t="s">
        <v>612</v>
      </c>
      <c r="L7">
        <v>13</v>
      </c>
      <c r="Q7" s="1198" t="s">
        <v>1482</v>
      </c>
      <c r="R7">
        <v>6</v>
      </c>
      <c r="U7" s="1198" t="s">
        <v>703</v>
      </c>
      <c r="V7">
        <v>1</v>
      </c>
      <c r="Y7" s="1198" t="s">
        <v>1353</v>
      </c>
      <c r="Z7">
        <v>6</v>
      </c>
      <c r="AA7" s="1198" t="s">
        <v>1354</v>
      </c>
      <c r="AB7">
        <v>4</v>
      </c>
      <c r="AE7" s="1198" t="s">
        <v>1274</v>
      </c>
      <c r="AF7">
        <v>6</v>
      </c>
      <c r="AG7" s="1198" t="s">
        <v>1734</v>
      </c>
      <c r="AH7">
        <v>40</v>
      </c>
    </row>
    <row r="8" spans="3:34" x14ac:dyDescent="0.25">
      <c r="C8" s="1198" t="s">
        <v>1450</v>
      </c>
      <c r="D8">
        <v>9</v>
      </c>
      <c r="E8" s="1198" t="s">
        <v>1719</v>
      </c>
      <c r="F8">
        <v>7</v>
      </c>
      <c r="G8" s="1198" t="s">
        <v>1342</v>
      </c>
      <c r="H8">
        <v>13</v>
      </c>
      <c r="I8" s="1198" t="s">
        <v>1314</v>
      </c>
      <c r="J8">
        <v>10</v>
      </c>
      <c r="K8" s="1198" t="s">
        <v>610</v>
      </c>
      <c r="L8">
        <v>16</v>
      </c>
      <c r="Q8" s="1198" t="s">
        <v>1483</v>
      </c>
      <c r="R8">
        <v>7</v>
      </c>
      <c r="AE8" s="1198" t="s">
        <v>1551</v>
      </c>
      <c r="AF8">
        <v>33</v>
      </c>
      <c r="AG8" s="1198" t="s">
        <v>1735</v>
      </c>
      <c r="AH8">
        <v>5</v>
      </c>
    </row>
    <row r="9" spans="3:34" x14ac:dyDescent="0.25">
      <c r="E9" s="1198" t="s">
        <v>1720</v>
      </c>
      <c r="F9">
        <v>8</v>
      </c>
      <c r="G9" s="1198" t="s">
        <v>1343</v>
      </c>
      <c r="H9">
        <v>4</v>
      </c>
      <c r="I9" s="1198" t="s">
        <v>1315</v>
      </c>
      <c r="J9">
        <v>11</v>
      </c>
      <c r="K9" s="1198" t="s">
        <v>611</v>
      </c>
      <c r="L9">
        <v>11</v>
      </c>
      <c r="Q9" s="1198" t="s">
        <v>320</v>
      </c>
      <c r="R9">
        <v>8</v>
      </c>
      <c r="AE9" s="1198" t="s">
        <v>1275</v>
      </c>
      <c r="AF9">
        <v>7</v>
      </c>
      <c r="AG9" s="1198" t="s">
        <v>1736</v>
      </c>
      <c r="AH9">
        <v>29</v>
      </c>
    </row>
    <row r="10" spans="3:34" x14ac:dyDescent="0.25">
      <c r="E10" s="1198" t="s">
        <v>1721</v>
      </c>
      <c r="F10">
        <v>9</v>
      </c>
      <c r="G10" s="1198" t="s">
        <v>1344</v>
      </c>
      <c r="H10">
        <v>5</v>
      </c>
      <c r="I10" s="1198" t="s">
        <v>1316</v>
      </c>
      <c r="J10">
        <v>12</v>
      </c>
      <c r="K10" s="1198" t="s">
        <v>1455</v>
      </c>
      <c r="L10">
        <v>8</v>
      </c>
      <c r="AE10" s="1198" t="s">
        <v>1552</v>
      </c>
      <c r="AF10">
        <v>29</v>
      </c>
      <c r="AG10" s="1198" t="s">
        <v>517</v>
      </c>
      <c r="AH10">
        <v>6</v>
      </c>
    </row>
    <row r="11" spans="3:34" x14ac:dyDescent="0.25">
      <c r="E11" s="1198" t="s">
        <v>1722</v>
      </c>
      <c r="F11">
        <v>10</v>
      </c>
      <c r="G11" s="1198" t="s">
        <v>1345</v>
      </c>
      <c r="H11">
        <v>6</v>
      </c>
      <c r="I11" s="1198" t="s">
        <v>1317</v>
      </c>
      <c r="J11">
        <v>13</v>
      </c>
      <c r="K11" s="1198" t="s">
        <v>609</v>
      </c>
      <c r="L11">
        <v>14</v>
      </c>
      <c r="AE11" s="1198" t="s">
        <v>1276</v>
      </c>
      <c r="AF11">
        <v>8</v>
      </c>
      <c r="AG11" s="1198" t="s">
        <v>1737</v>
      </c>
      <c r="AH11">
        <v>7</v>
      </c>
    </row>
    <row r="12" spans="3:34" x14ac:dyDescent="0.25">
      <c r="E12" s="1198" t="s">
        <v>1723</v>
      </c>
      <c r="F12">
        <v>11</v>
      </c>
      <c r="I12" s="1198" t="s">
        <v>1318</v>
      </c>
      <c r="J12">
        <v>34</v>
      </c>
      <c r="K12" s="1198" t="s">
        <v>1456</v>
      </c>
      <c r="L12">
        <v>9</v>
      </c>
      <c r="AE12" s="1198" t="s">
        <v>204</v>
      </c>
      <c r="AF12">
        <v>38</v>
      </c>
      <c r="AG12" s="1198" t="s">
        <v>1738</v>
      </c>
      <c r="AH12">
        <v>8</v>
      </c>
    </row>
    <row r="13" spans="3:34" x14ac:dyDescent="0.25">
      <c r="E13" s="1198" t="s">
        <v>1724</v>
      </c>
      <c r="F13">
        <v>12</v>
      </c>
      <c r="I13" s="1198" t="s">
        <v>1319</v>
      </c>
      <c r="J13">
        <v>36</v>
      </c>
      <c r="K13" s="1198" t="s">
        <v>1457</v>
      </c>
      <c r="L13">
        <v>10</v>
      </c>
      <c r="AE13" s="1198" t="s">
        <v>1553</v>
      </c>
      <c r="AF13">
        <v>44</v>
      </c>
      <c r="AG13" s="1198" t="s">
        <v>1739</v>
      </c>
      <c r="AH13">
        <v>9</v>
      </c>
    </row>
    <row r="14" spans="3:34" x14ac:dyDescent="0.25">
      <c r="E14" s="1198" t="s">
        <v>1725</v>
      </c>
      <c r="F14">
        <v>13</v>
      </c>
      <c r="I14" s="1198" t="s">
        <v>1320</v>
      </c>
      <c r="J14">
        <v>14</v>
      </c>
      <c r="K14" s="1198" t="s">
        <v>1458</v>
      </c>
      <c r="L14">
        <v>4</v>
      </c>
      <c r="AE14" s="1198" t="s">
        <v>1554</v>
      </c>
      <c r="AF14">
        <v>32</v>
      </c>
      <c r="AG14" s="1198" t="s">
        <v>1740</v>
      </c>
      <c r="AH14">
        <v>10</v>
      </c>
    </row>
    <row r="15" spans="3:34" x14ac:dyDescent="0.25">
      <c r="E15" s="1198" t="s">
        <v>1726</v>
      </c>
      <c r="F15">
        <v>14</v>
      </c>
      <c r="I15" s="1198" t="s">
        <v>1321</v>
      </c>
      <c r="J15">
        <v>15</v>
      </c>
      <c r="AE15" s="1198" t="s">
        <v>1555</v>
      </c>
      <c r="AF15">
        <v>45</v>
      </c>
      <c r="AG15" s="1198" t="s">
        <v>1741</v>
      </c>
      <c r="AH15">
        <v>35</v>
      </c>
    </row>
    <row r="16" spans="3:34" x14ac:dyDescent="0.25">
      <c r="E16" s="1198" t="s">
        <v>1727</v>
      </c>
      <c r="F16">
        <v>15</v>
      </c>
      <c r="I16" s="1198" t="s">
        <v>1322</v>
      </c>
      <c r="J16">
        <v>16</v>
      </c>
      <c r="AE16" s="1198" t="s">
        <v>166</v>
      </c>
      <c r="AF16">
        <v>52</v>
      </c>
      <c r="AG16" s="1198" t="s">
        <v>1742</v>
      </c>
      <c r="AH16">
        <v>36</v>
      </c>
    </row>
    <row r="17" spans="5:34" x14ac:dyDescent="0.25">
      <c r="E17" s="1198" t="s">
        <v>1728</v>
      </c>
      <c r="F17">
        <v>16</v>
      </c>
      <c r="I17" s="1198" t="s">
        <v>1323</v>
      </c>
      <c r="J17">
        <v>17</v>
      </c>
      <c r="AE17" s="1198" t="s">
        <v>1556</v>
      </c>
      <c r="AF17">
        <v>36</v>
      </c>
      <c r="AG17" s="1198" t="s">
        <v>1743</v>
      </c>
      <c r="AH17">
        <v>11</v>
      </c>
    </row>
    <row r="18" spans="5:34" x14ac:dyDescent="0.25">
      <c r="I18" s="1198" t="s">
        <v>1324</v>
      </c>
      <c r="J18">
        <v>18</v>
      </c>
      <c r="AE18" s="1198" t="s">
        <v>1557</v>
      </c>
      <c r="AF18">
        <v>47</v>
      </c>
      <c r="AG18" s="1198" t="s">
        <v>1744</v>
      </c>
      <c r="AH18">
        <v>12</v>
      </c>
    </row>
    <row r="19" spans="5:34" x14ac:dyDescent="0.25">
      <c r="I19" s="1198" t="s">
        <v>1325</v>
      </c>
      <c r="J19">
        <v>37</v>
      </c>
      <c r="AE19" s="1198" t="s">
        <v>1558</v>
      </c>
      <c r="AF19">
        <v>31</v>
      </c>
      <c r="AG19" s="1198" t="s">
        <v>1745</v>
      </c>
      <c r="AH19">
        <v>13</v>
      </c>
    </row>
    <row r="20" spans="5:34" x14ac:dyDescent="0.25">
      <c r="I20" s="1198" t="s">
        <v>1326</v>
      </c>
      <c r="J20">
        <v>19</v>
      </c>
      <c r="AE20" s="1198" t="s">
        <v>203</v>
      </c>
      <c r="AF20">
        <v>9</v>
      </c>
      <c r="AG20" s="1198" t="s">
        <v>1746</v>
      </c>
      <c r="AH20">
        <v>39</v>
      </c>
    </row>
    <row r="21" spans="5:34" x14ac:dyDescent="0.25">
      <c r="I21" s="1198" t="s">
        <v>1327</v>
      </c>
      <c r="J21">
        <v>20</v>
      </c>
      <c r="AE21" s="1198" t="s">
        <v>1559</v>
      </c>
      <c r="AF21">
        <v>41</v>
      </c>
      <c r="AG21" s="1198" t="s">
        <v>1747</v>
      </c>
      <c r="AH21">
        <v>37</v>
      </c>
    </row>
    <row r="22" spans="5:34" x14ac:dyDescent="0.25">
      <c r="I22" s="1198" t="s">
        <v>1328</v>
      </c>
      <c r="J22">
        <v>21</v>
      </c>
      <c r="AE22" s="1198" t="s">
        <v>1560</v>
      </c>
      <c r="AF22">
        <v>49</v>
      </c>
      <c r="AG22" s="1198" t="s">
        <v>1748</v>
      </c>
      <c r="AH22">
        <v>38</v>
      </c>
    </row>
    <row r="23" spans="5:34" x14ac:dyDescent="0.25">
      <c r="I23" s="1198" t="s">
        <v>1329</v>
      </c>
      <c r="J23">
        <v>22</v>
      </c>
      <c r="AE23" s="1198" t="s">
        <v>1561</v>
      </c>
      <c r="AF23">
        <v>48</v>
      </c>
      <c r="AG23" s="1198" t="s">
        <v>1749</v>
      </c>
      <c r="AH23">
        <v>14</v>
      </c>
    </row>
    <row r="24" spans="5:34" x14ac:dyDescent="0.25">
      <c r="I24" s="1198" t="s">
        <v>1330</v>
      </c>
      <c r="J24">
        <v>35</v>
      </c>
      <c r="AE24" s="1198" t="s">
        <v>1277</v>
      </c>
      <c r="AF24">
        <v>24</v>
      </c>
      <c r="AG24" s="1198" t="s">
        <v>1750</v>
      </c>
      <c r="AH24">
        <v>15</v>
      </c>
    </row>
    <row r="25" spans="5:34" x14ac:dyDescent="0.25">
      <c r="I25" s="1198" t="s">
        <v>1331</v>
      </c>
      <c r="J25">
        <v>23</v>
      </c>
      <c r="AE25" s="1198" t="s">
        <v>1278</v>
      </c>
      <c r="AF25">
        <v>23</v>
      </c>
      <c r="AG25" s="1198" t="s">
        <v>1751</v>
      </c>
      <c r="AH25">
        <v>16</v>
      </c>
    </row>
    <row r="26" spans="5:34" x14ac:dyDescent="0.25">
      <c r="I26" s="1198" t="s">
        <v>1332</v>
      </c>
      <c r="J26">
        <v>33</v>
      </c>
      <c r="AE26" s="1198" t="s">
        <v>1562</v>
      </c>
      <c r="AF26">
        <v>42</v>
      </c>
      <c r="AG26" s="1198" t="s">
        <v>1752</v>
      </c>
      <c r="AH26">
        <v>17</v>
      </c>
    </row>
    <row r="27" spans="5:34" x14ac:dyDescent="0.25">
      <c r="I27" s="1198" t="s">
        <v>1333</v>
      </c>
      <c r="J27">
        <v>24</v>
      </c>
      <c r="AE27" s="1198" t="s">
        <v>1279</v>
      </c>
      <c r="AF27">
        <v>10</v>
      </c>
      <c r="AG27" s="1198" t="s">
        <v>1753</v>
      </c>
      <c r="AH27">
        <v>18</v>
      </c>
    </row>
    <row r="28" spans="5:34" x14ac:dyDescent="0.25">
      <c r="I28" s="1198" t="s">
        <v>1334</v>
      </c>
      <c r="J28">
        <v>25</v>
      </c>
      <c r="AE28" s="1198" t="s">
        <v>1280</v>
      </c>
      <c r="AF28">
        <v>11</v>
      </c>
      <c r="AG28" s="1198" t="s">
        <v>1754</v>
      </c>
      <c r="AH28">
        <v>19</v>
      </c>
    </row>
    <row r="29" spans="5:34" x14ac:dyDescent="0.25">
      <c r="I29" s="1198" t="s">
        <v>1335</v>
      </c>
      <c r="J29">
        <v>26</v>
      </c>
      <c r="AE29" s="1198" t="s">
        <v>1563</v>
      </c>
      <c r="AF29">
        <v>43</v>
      </c>
      <c r="AG29" s="1198" t="s">
        <v>1755</v>
      </c>
      <c r="AH29">
        <v>20</v>
      </c>
    </row>
    <row r="30" spans="5:34" x14ac:dyDescent="0.25">
      <c r="I30" s="1198" t="s">
        <v>1336</v>
      </c>
      <c r="J30">
        <v>27</v>
      </c>
      <c r="AE30" s="1198" t="s">
        <v>1281</v>
      </c>
      <c r="AF30">
        <v>3</v>
      </c>
      <c r="AG30" s="1198" t="s">
        <v>1756</v>
      </c>
      <c r="AH30">
        <v>30</v>
      </c>
    </row>
    <row r="31" spans="5:34" x14ac:dyDescent="0.25">
      <c r="I31" s="1198" t="s">
        <v>1337</v>
      </c>
      <c r="J31">
        <v>29</v>
      </c>
      <c r="AE31" s="1198" t="s">
        <v>1564</v>
      </c>
      <c r="AF31">
        <v>30</v>
      </c>
      <c r="AG31" s="1198" t="s">
        <v>1757</v>
      </c>
      <c r="AH31">
        <v>21</v>
      </c>
    </row>
    <row r="32" spans="5:34" x14ac:dyDescent="0.25">
      <c r="I32" s="1198" t="s">
        <v>1338</v>
      </c>
      <c r="J32">
        <v>28</v>
      </c>
      <c r="AE32" s="1198" t="s">
        <v>226</v>
      </c>
      <c r="AF32">
        <v>15</v>
      </c>
      <c r="AG32" s="1198" t="s">
        <v>1758</v>
      </c>
      <c r="AH32">
        <v>22</v>
      </c>
    </row>
    <row r="33" spans="9:34" x14ac:dyDescent="0.25">
      <c r="I33" s="1198" t="s">
        <v>1339</v>
      </c>
      <c r="J33">
        <v>39</v>
      </c>
      <c r="AE33" s="1198" t="s">
        <v>1565</v>
      </c>
      <c r="AF33">
        <v>56</v>
      </c>
      <c r="AG33" s="1198" t="s">
        <v>1759</v>
      </c>
      <c r="AH33">
        <v>23</v>
      </c>
    </row>
    <row r="34" spans="9:34" x14ac:dyDescent="0.25">
      <c r="AE34" s="1198" t="s">
        <v>1282</v>
      </c>
      <c r="AF34">
        <v>25</v>
      </c>
      <c r="AG34" s="1198" t="s">
        <v>1760</v>
      </c>
      <c r="AH34">
        <v>31</v>
      </c>
    </row>
    <row r="35" spans="9:34" x14ac:dyDescent="0.25">
      <c r="AE35" s="1198" t="s">
        <v>1566</v>
      </c>
      <c r="AF35">
        <v>51</v>
      </c>
      <c r="AG35" s="1198" t="s">
        <v>1761</v>
      </c>
      <c r="AH35">
        <v>26</v>
      </c>
    </row>
    <row r="36" spans="9:34" x14ac:dyDescent="0.25">
      <c r="AE36" s="1198" t="s">
        <v>1567</v>
      </c>
      <c r="AF36">
        <v>53</v>
      </c>
      <c r="AG36" s="1198" t="s">
        <v>1762</v>
      </c>
      <c r="AH36">
        <v>27</v>
      </c>
    </row>
    <row r="37" spans="9:34" x14ac:dyDescent="0.25">
      <c r="AE37" s="1198" t="s">
        <v>1568</v>
      </c>
      <c r="AF37">
        <v>40</v>
      </c>
      <c r="AG37" s="1198" t="s">
        <v>1763</v>
      </c>
      <c r="AH37">
        <v>28</v>
      </c>
    </row>
    <row r="38" spans="9:34" x14ac:dyDescent="0.25">
      <c r="AE38" s="1198" t="s">
        <v>1569</v>
      </c>
      <c r="AF38">
        <v>37</v>
      </c>
      <c r="AG38" s="1198" t="s">
        <v>1764</v>
      </c>
      <c r="AH38">
        <v>32</v>
      </c>
    </row>
    <row r="39" spans="9:34" x14ac:dyDescent="0.25">
      <c r="AE39" s="1198" t="s">
        <v>1548</v>
      </c>
      <c r="AF39">
        <v>35</v>
      </c>
      <c r="AG39" s="1198" t="s">
        <v>1765</v>
      </c>
      <c r="AH39">
        <v>33</v>
      </c>
    </row>
    <row r="40" spans="9:34" x14ac:dyDescent="0.25">
      <c r="AE40" s="1198" t="s">
        <v>1570</v>
      </c>
      <c r="AF40">
        <v>34</v>
      </c>
      <c r="AG40" s="1198" t="s">
        <v>1766</v>
      </c>
      <c r="AH40">
        <v>24</v>
      </c>
    </row>
    <row r="41" spans="9:34" x14ac:dyDescent="0.25">
      <c r="AE41" s="1198" t="s">
        <v>1283</v>
      </c>
      <c r="AF41">
        <v>19</v>
      </c>
      <c r="AG41" s="1198" t="s">
        <v>1767</v>
      </c>
      <c r="AH41">
        <v>25</v>
      </c>
    </row>
    <row r="42" spans="9:34" x14ac:dyDescent="0.25">
      <c r="AE42" s="1198" t="s">
        <v>1571</v>
      </c>
      <c r="AF42">
        <v>46</v>
      </c>
    </row>
    <row r="43" spans="9:34" x14ac:dyDescent="0.25">
      <c r="AE43" s="1198" t="s">
        <v>1284</v>
      </c>
      <c r="AF43">
        <v>26</v>
      </c>
    </row>
    <row r="44" spans="9:34" x14ac:dyDescent="0.25">
      <c r="AE44" s="1198" t="s">
        <v>1572</v>
      </c>
      <c r="AF44">
        <v>50</v>
      </c>
    </row>
    <row r="45" spans="9:34" x14ac:dyDescent="0.25">
      <c r="AE45" s="1198" t="s">
        <v>1285</v>
      </c>
      <c r="AF45">
        <v>22</v>
      </c>
    </row>
    <row r="46" spans="9:34" x14ac:dyDescent="0.25">
      <c r="AE46" s="1198" t="s">
        <v>1286</v>
      </c>
      <c r="AF46">
        <v>21</v>
      </c>
    </row>
    <row r="47" spans="9:34" x14ac:dyDescent="0.25">
      <c r="AE47" s="1198" t="s">
        <v>1573</v>
      </c>
      <c r="AF47">
        <v>28</v>
      </c>
    </row>
    <row r="48" spans="9:34" x14ac:dyDescent="0.25">
      <c r="AE48" s="1198" t="s">
        <v>1287</v>
      </c>
      <c r="AF48">
        <v>1</v>
      </c>
    </row>
    <row r="49" spans="31:32" x14ac:dyDescent="0.25">
      <c r="AE49" s="1198" t="s">
        <v>167</v>
      </c>
      <c r="AF49">
        <v>14</v>
      </c>
    </row>
    <row r="50" spans="31:32" x14ac:dyDescent="0.25">
      <c r="AE50" s="1198" t="s">
        <v>1288</v>
      </c>
      <c r="AF50">
        <v>16</v>
      </c>
    </row>
    <row r="51" spans="31:32" x14ac:dyDescent="0.25">
      <c r="AE51" s="1198" t="s">
        <v>201</v>
      </c>
      <c r="AF51">
        <v>4</v>
      </c>
    </row>
    <row r="52" spans="31:32" x14ac:dyDescent="0.25">
      <c r="AE52" s="1198" t="s">
        <v>199</v>
      </c>
      <c r="AF52">
        <v>5</v>
      </c>
    </row>
    <row r="53" spans="31:32" x14ac:dyDescent="0.25">
      <c r="AE53" s="1198" t="s">
        <v>1289</v>
      </c>
      <c r="AF53">
        <v>12</v>
      </c>
    </row>
    <row r="54" spans="31:32" x14ac:dyDescent="0.25">
      <c r="AE54" s="1198" t="s">
        <v>1290</v>
      </c>
      <c r="AF54">
        <v>13</v>
      </c>
    </row>
    <row r="55" spans="31:32" x14ac:dyDescent="0.25">
      <c r="AE55" s="1198" t="s">
        <v>1291</v>
      </c>
      <c r="AF55">
        <v>2</v>
      </c>
    </row>
    <row r="56" spans="31:32" x14ac:dyDescent="0.25">
      <c r="AE56" s="1198" t="s">
        <v>760</v>
      </c>
      <c r="AF56">
        <v>18</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205B1-C6F7-4DEA-8FC8-99C9AB36658F}">
  <sheetPr codeName="Sheet38">
    <pageSetUpPr fitToPage="1"/>
  </sheetPr>
  <dimension ref="A1:R86"/>
  <sheetViews>
    <sheetView workbookViewId="0">
      <selection activeCell="A2" sqref="A2"/>
    </sheetView>
  </sheetViews>
  <sheetFormatPr defaultColWidth="9.109375" defaultRowHeight="14.4" x14ac:dyDescent="0.3"/>
  <cols>
    <col min="1" max="1" width="9.109375" style="1372"/>
    <col min="2" max="2" width="14.5546875" style="1372" customWidth="1"/>
    <col min="3" max="3" width="26" style="1372" customWidth="1"/>
    <col min="4" max="4" width="17.44140625" style="1372" bestFit="1" customWidth="1"/>
    <col min="5" max="5" width="12.109375" style="1372" bestFit="1" customWidth="1"/>
    <col min="6" max="8" width="9.109375" style="1372"/>
    <col min="9" max="9" width="14.33203125" style="1372" bestFit="1" customWidth="1"/>
    <col min="10" max="11" width="9.109375" style="1372"/>
    <col min="12" max="12" width="22.33203125" style="1372" customWidth="1"/>
    <col min="13" max="13" width="11.5546875" style="1372" customWidth="1"/>
    <col min="14" max="14" width="13" style="1372" customWidth="1"/>
    <col min="15" max="15" width="9.109375" style="1372"/>
    <col min="16" max="16" width="4.33203125" style="1372" bestFit="1" customWidth="1"/>
    <col min="17" max="17" width="12.5546875" style="1372" bestFit="1" customWidth="1"/>
    <col min="18" max="18" width="8" style="1372" bestFit="1" customWidth="1"/>
    <col min="19" max="16384" width="9.109375" style="1372"/>
  </cols>
  <sheetData>
    <row r="1" spans="1:15" ht="18" x14ac:dyDescent="0.35">
      <c r="A1" s="1371" t="s">
        <v>1881</v>
      </c>
    </row>
    <row r="3" spans="1:15" ht="15" thickBot="1" x14ac:dyDescent="0.35">
      <c r="A3" s="1373" t="s">
        <v>1806</v>
      </c>
      <c r="B3" s="1374"/>
      <c r="C3" s="1374"/>
      <c r="D3" s="1374"/>
      <c r="E3" s="1374"/>
      <c r="F3" s="1374"/>
      <c r="G3" s="1374"/>
      <c r="H3" s="1374"/>
      <c r="I3" s="1375"/>
    </row>
    <row r="4" spans="1:15" ht="15" thickBot="1" x14ac:dyDescent="0.35">
      <c r="A4" s="1376" t="s">
        <v>1807</v>
      </c>
      <c r="I4" s="1377">
        <f>'Tax Credit Calculations'!X31</f>
        <v>0</v>
      </c>
      <c r="K4" s="1378" t="s">
        <v>1808</v>
      </c>
      <c r="L4" s="1378"/>
      <c r="M4" s="1378"/>
      <c r="N4" s="1378"/>
      <c r="O4" s="1378"/>
    </row>
    <row r="5" spans="1:15" ht="15" thickBot="1" x14ac:dyDescent="0.35">
      <c r="A5" s="1379"/>
      <c r="B5" s="1372" t="s">
        <v>1809</v>
      </c>
      <c r="I5" s="1380" t="s">
        <v>491</v>
      </c>
      <c r="K5" s="1372" t="s">
        <v>1810</v>
      </c>
    </row>
    <row r="6" spans="1:15" x14ac:dyDescent="0.3">
      <c r="A6" s="1381"/>
      <c r="B6" s="1378"/>
      <c r="C6" s="1378"/>
      <c r="D6" s="1378"/>
      <c r="E6" s="1378"/>
      <c r="F6" s="1378"/>
      <c r="G6" s="1378"/>
      <c r="H6" s="1378"/>
      <c r="I6" s="1382"/>
      <c r="K6" s="1372" t="s">
        <v>1811</v>
      </c>
    </row>
    <row r="7" spans="1:15" ht="15" thickBot="1" x14ac:dyDescent="0.35">
      <c r="A7" s="1383" t="s">
        <v>1878</v>
      </c>
      <c r="B7" s="1374"/>
      <c r="C7" s="1374"/>
      <c r="D7" s="1374"/>
      <c r="E7" s="1374"/>
      <c r="F7" s="1374"/>
      <c r="G7" s="1374"/>
      <c r="H7" s="1374"/>
      <c r="I7" s="1384"/>
    </row>
    <row r="8" spans="1:15" ht="15" thickBot="1" x14ac:dyDescent="0.35">
      <c r="A8" s="1376" t="s">
        <v>1877</v>
      </c>
      <c r="B8" s="1385"/>
      <c r="C8" s="1385"/>
      <c r="D8" s="1385"/>
      <c r="E8" s="1385"/>
      <c r="F8" s="1385"/>
      <c r="G8" s="1385"/>
      <c r="H8" s="1385"/>
      <c r="I8" s="1377">
        <f>SUM(IF(OR('MH Underwriting'!D83="0% Deferred Loan - FedHOME",'MH Underwriting'!F83="FedHOME",'MH Underwriting'!F83="Nat'l Housing Trust Fund"),'MH Underwriting'!T83,0),IF(OR('MH Underwriting'!D84="0% Deferred Loan - FedHOME",'MH Underwriting'!F84="FedHOME",'MH Underwriting'!F84="Nat'l Housing Trust Fund"),'MH Underwriting'!T84,0),IF(OR('MH Underwriting'!D85="0% Deferred Loan - FedHOME",'MH Underwriting'!F85="FedHOME",'MH Underwriting'!F85="Nat'l Housing Trust Fund"),'MH Underwriting'!T85,0))</f>
        <v>0</v>
      </c>
      <c r="L8" s="1372" t="s">
        <v>1812</v>
      </c>
    </row>
    <row r="9" spans="1:15" x14ac:dyDescent="0.3">
      <c r="A9" s="1379"/>
      <c r="I9" s="1386"/>
      <c r="L9" s="1372" t="s">
        <v>1813</v>
      </c>
    </row>
    <row r="10" spans="1:15" x14ac:dyDescent="0.3">
      <c r="A10" s="1381"/>
      <c r="B10" s="1378"/>
      <c r="C10" s="1378"/>
      <c r="D10" s="1378"/>
      <c r="E10" s="1378"/>
      <c r="F10" s="1378"/>
      <c r="G10" s="1378"/>
      <c r="H10" s="1378"/>
      <c r="I10" s="1387"/>
      <c r="L10" s="1372" t="s">
        <v>1814</v>
      </c>
    </row>
    <row r="11" spans="1:15" ht="15" thickBot="1" x14ac:dyDescent="0.35">
      <c r="A11" s="1383" t="s">
        <v>1879</v>
      </c>
      <c r="B11" s="1374"/>
      <c r="C11" s="1374"/>
      <c r="D11" s="1374"/>
      <c r="E11" s="1374"/>
      <c r="F11" s="1374"/>
      <c r="G11" s="1374"/>
      <c r="H11" s="1374"/>
      <c r="I11" s="1388"/>
      <c r="L11" s="1372" t="s">
        <v>1815</v>
      </c>
    </row>
    <row r="12" spans="1:15" ht="15" thickBot="1" x14ac:dyDescent="0.35">
      <c r="A12" s="1376" t="s">
        <v>1816</v>
      </c>
      <c r="B12" s="1385"/>
      <c r="C12" s="1385"/>
      <c r="D12" s="1385"/>
      <c r="E12" s="1385"/>
      <c r="F12" s="1385"/>
      <c r="G12" s="1385"/>
      <c r="H12" s="1385"/>
      <c r="I12" s="1377">
        <f>'MH Underwriting'!P68</f>
        <v>0</v>
      </c>
      <c r="L12" s="1372" t="s">
        <v>1817</v>
      </c>
    </row>
    <row r="13" spans="1:15" x14ac:dyDescent="0.3">
      <c r="A13" s="1379"/>
      <c r="I13" s="1389"/>
    </row>
    <row r="14" spans="1:15" ht="15" thickBot="1" x14ac:dyDescent="0.35">
      <c r="A14" s="1379" t="s">
        <v>1818</v>
      </c>
      <c r="I14" s="1389"/>
      <c r="L14" s="1372" t="s">
        <v>1819</v>
      </c>
    </row>
    <row r="15" spans="1:15" ht="15" thickBot="1" x14ac:dyDescent="0.35">
      <c r="A15" s="1379"/>
      <c r="B15" s="1372" t="s">
        <v>1820</v>
      </c>
      <c r="I15" s="1377">
        <f>'MH Underwriting'!L68</f>
        <v>0</v>
      </c>
    </row>
    <row r="16" spans="1:15" ht="15" thickBot="1" x14ac:dyDescent="0.35">
      <c r="A16" s="1379"/>
      <c r="B16" s="1372" t="s">
        <v>1821</v>
      </c>
      <c r="I16" s="1377">
        <f>SUM('MH Underwriting'!P57:P60)</f>
        <v>0</v>
      </c>
    </row>
    <row r="17" spans="1:15" ht="15" thickBot="1" x14ac:dyDescent="0.35">
      <c r="A17" s="1379"/>
      <c r="B17" s="1372" t="s">
        <v>1822</v>
      </c>
      <c r="I17" s="1377">
        <f>'MH Underwriting'!P61</f>
        <v>0</v>
      </c>
    </row>
    <row r="18" spans="1:15" ht="15" thickBot="1" x14ac:dyDescent="0.35">
      <c r="A18" s="1379"/>
      <c r="B18" s="1372" t="s">
        <v>1823</v>
      </c>
      <c r="I18" s="1377">
        <v>0</v>
      </c>
    </row>
    <row r="19" spans="1:15" ht="15" thickBot="1" x14ac:dyDescent="0.35">
      <c r="A19" s="1379"/>
      <c r="B19" s="1372" t="s">
        <v>1824</v>
      </c>
      <c r="I19" s="1377">
        <f>'MH Underwriting'!P46</f>
        <v>0</v>
      </c>
    </row>
    <row r="20" spans="1:15" ht="15" thickBot="1" x14ac:dyDescent="0.35">
      <c r="A20" s="1379"/>
      <c r="B20" s="1372" t="s">
        <v>1825</v>
      </c>
      <c r="I20" s="1377">
        <f>'MH Underwriting'!P44</f>
        <v>0</v>
      </c>
    </row>
    <row r="21" spans="1:15" ht="15" thickBot="1" x14ac:dyDescent="0.35">
      <c r="A21" s="1379"/>
      <c r="B21" s="1372" t="s">
        <v>1826</v>
      </c>
      <c r="I21" s="1377">
        <f>'MH Underwriting'!P20</f>
        <v>0</v>
      </c>
    </row>
    <row r="22" spans="1:15" x14ac:dyDescent="0.3">
      <c r="A22" s="1379"/>
      <c r="I22" s="1390"/>
    </row>
    <row r="23" spans="1:15" ht="15" thickBot="1" x14ac:dyDescent="0.35">
      <c r="A23" s="1391"/>
      <c r="B23" s="1392" t="s">
        <v>1827</v>
      </c>
      <c r="C23" s="1393"/>
      <c r="D23" s="1393"/>
      <c r="E23" s="1393"/>
      <c r="F23" s="1393"/>
      <c r="G23" s="1393"/>
      <c r="H23" s="1393"/>
      <c r="I23" s="1394">
        <f>SUM(I15:I21)</f>
        <v>0</v>
      </c>
    </row>
    <row r="24" spans="1:15" ht="15.6" thickTop="1" thickBot="1" x14ac:dyDescent="0.35">
      <c r="A24" s="1379"/>
      <c r="B24" s="1395"/>
      <c r="I24" s="1396"/>
    </row>
    <row r="25" spans="1:15" ht="15" thickBot="1" x14ac:dyDescent="0.35">
      <c r="A25" s="1379" t="s">
        <v>1828</v>
      </c>
      <c r="I25" s="1397">
        <f>'MH Underwriting'!P45</f>
        <v>0</v>
      </c>
    </row>
    <row r="26" spans="1:15" ht="15" thickBot="1" x14ac:dyDescent="0.35">
      <c r="A26" s="1379" t="s">
        <v>1880</v>
      </c>
      <c r="I26" s="1380"/>
      <c r="K26" s="1378" t="s">
        <v>1829</v>
      </c>
      <c r="L26" s="1378"/>
      <c r="M26" s="1378"/>
      <c r="N26" s="1378"/>
      <c r="O26" s="1378"/>
    </row>
    <row r="27" spans="1:15" x14ac:dyDescent="0.3">
      <c r="A27" s="1379"/>
      <c r="I27" s="1398"/>
      <c r="K27" s="1372" t="s">
        <v>1830</v>
      </c>
    </row>
    <row r="28" spans="1:15" ht="15" thickBot="1" x14ac:dyDescent="0.35">
      <c r="A28" s="1399" t="s">
        <v>1831</v>
      </c>
      <c r="B28" s="1392"/>
      <c r="C28" s="1393"/>
      <c r="D28" s="1393"/>
      <c r="E28" s="1393"/>
      <c r="F28" s="1393"/>
      <c r="G28" s="1393"/>
      <c r="H28" s="1393"/>
      <c r="I28" s="1400">
        <f>I12-I23-I25</f>
        <v>0</v>
      </c>
      <c r="K28" s="1372" t="s">
        <v>1832</v>
      </c>
    </row>
    <row r="29" spans="1:15" ht="15" thickTop="1" x14ac:dyDescent="0.3">
      <c r="A29" s="1379" t="s">
        <v>1833</v>
      </c>
      <c r="I29" s="1401" t="e">
        <f>I28/I4</f>
        <v>#DIV/0!</v>
      </c>
      <c r="K29" s="1372" t="s">
        <v>1834</v>
      </c>
    </row>
    <row r="30" spans="1:15" x14ac:dyDescent="0.3">
      <c r="A30" s="1379"/>
      <c r="I30" s="1402"/>
      <c r="K30" s="1372" t="s">
        <v>1835</v>
      </c>
    </row>
    <row r="31" spans="1:15" x14ac:dyDescent="0.3">
      <c r="A31" s="1379" t="s">
        <v>1836</v>
      </c>
      <c r="I31" s="1403" t="e">
        <f>I8/I28</f>
        <v>#DIV/0!</v>
      </c>
      <c r="K31" s="1372" t="s">
        <v>1837</v>
      </c>
    </row>
    <row r="32" spans="1:15" x14ac:dyDescent="0.3">
      <c r="A32" s="1381"/>
      <c r="B32" s="1378"/>
      <c r="C32" s="1378"/>
      <c r="D32" s="1378"/>
      <c r="E32" s="1378"/>
      <c r="F32" s="1378"/>
      <c r="G32" s="1378"/>
      <c r="H32" s="1378"/>
      <c r="I32" s="1382"/>
      <c r="K32" s="1372" t="s">
        <v>1838</v>
      </c>
    </row>
    <row r="33" spans="1:11" x14ac:dyDescent="0.3">
      <c r="A33" s="1801" t="s">
        <v>1839</v>
      </c>
      <c r="B33" s="1801"/>
      <c r="C33" s="1801"/>
      <c r="D33" s="1801"/>
      <c r="E33" s="1801"/>
      <c r="F33" s="1801"/>
      <c r="G33" s="1801"/>
      <c r="H33" s="1801"/>
      <c r="I33" s="1404"/>
      <c r="K33" s="1372" t="s">
        <v>1840</v>
      </c>
    </row>
    <row r="34" spans="1:11" x14ac:dyDescent="0.3">
      <c r="A34" s="1405"/>
      <c r="B34" s="1405" t="s">
        <v>531</v>
      </c>
      <c r="C34" s="1405" t="s">
        <v>1841</v>
      </c>
      <c r="D34" s="1406" t="s">
        <v>1842</v>
      </c>
      <c r="E34" s="1406" t="s">
        <v>1843</v>
      </c>
      <c r="F34" s="1407" t="s">
        <v>1844</v>
      </c>
      <c r="G34" s="1405"/>
      <c r="H34" s="1405"/>
      <c r="I34" s="1405"/>
    </row>
    <row r="35" spans="1:11" x14ac:dyDescent="0.3">
      <c r="A35" s="1405">
        <v>10</v>
      </c>
      <c r="B35" s="1408">
        <v>0</v>
      </c>
      <c r="C35" s="1405" t="s">
        <v>1845</v>
      </c>
      <c r="D35" s="1406" t="str">
        <f>IF(B35&gt;0,0,"")</f>
        <v/>
      </c>
      <c r="E35" s="1408">
        <v>0</v>
      </c>
      <c r="F35" s="1409" t="e">
        <f>E35/$I$4</f>
        <v>#DIV/0!</v>
      </c>
      <c r="G35" s="1405"/>
      <c r="H35" s="1405"/>
      <c r="I35" s="1410" t="e">
        <f t="shared" ref="I35:I54" si="0">B35*F35*$I$28</f>
        <v>#DIV/0!</v>
      </c>
    </row>
    <row r="36" spans="1:11" x14ac:dyDescent="0.3">
      <c r="A36" s="1405">
        <v>11</v>
      </c>
      <c r="B36" s="1408">
        <v>0</v>
      </c>
      <c r="C36" s="1405" t="s">
        <v>1846</v>
      </c>
      <c r="D36" s="1406" t="str">
        <f>IF(B36&gt;0,1,"")</f>
        <v/>
      </c>
      <c r="E36" s="1408">
        <v>0</v>
      </c>
      <c r="F36" s="1409" t="e">
        <f>E36/$I$4</f>
        <v>#DIV/0!</v>
      </c>
      <c r="G36" s="1405"/>
      <c r="H36" s="1405"/>
      <c r="I36" s="1410" t="e">
        <f>B36*F36*$I$28</f>
        <v>#DIV/0!</v>
      </c>
    </row>
    <row r="37" spans="1:11" x14ac:dyDescent="0.3">
      <c r="A37" s="1405">
        <v>12</v>
      </c>
      <c r="B37" s="1408">
        <v>0</v>
      </c>
      <c r="C37" s="1405" t="s">
        <v>1847</v>
      </c>
      <c r="D37" s="1406" t="str">
        <f>IF(B37&gt;0,1,"")</f>
        <v/>
      </c>
      <c r="E37" s="1408">
        <v>0</v>
      </c>
      <c r="F37" s="1409" t="e">
        <f t="shared" ref="F37" si="1">E37/$I$4</f>
        <v>#DIV/0!</v>
      </c>
      <c r="G37" s="1405"/>
      <c r="H37" s="1405"/>
      <c r="I37" s="1410" t="e">
        <f>B37*F37*$I$28</f>
        <v>#DIV/0!</v>
      </c>
    </row>
    <row r="38" spans="1:11" x14ac:dyDescent="0.3">
      <c r="A38" s="1405">
        <v>13</v>
      </c>
      <c r="B38" s="1408">
        <v>0</v>
      </c>
      <c r="C38" s="1405" t="s">
        <v>1848</v>
      </c>
      <c r="D38" s="1406" t="str">
        <f>IF(B38&gt;0,2,"")</f>
        <v/>
      </c>
      <c r="E38" s="1408">
        <v>0</v>
      </c>
      <c r="F38" s="1409" t="e">
        <f>E38/$I$4</f>
        <v>#DIV/0!</v>
      </c>
      <c r="G38" s="1405"/>
      <c r="H38" s="1405"/>
      <c r="I38" s="1410" t="e">
        <f t="shared" si="0"/>
        <v>#DIV/0!</v>
      </c>
    </row>
    <row r="39" spans="1:11" x14ac:dyDescent="0.3">
      <c r="A39" s="1405">
        <v>14</v>
      </c>
      <c r="B39" s="1408">
        <v>0</v>
      </c>
      <c r="C39" s="1405" t="s">
        <v>1849</v>
      </c>
      <c r="D39" s="1406" t="str">
        <f>IF(B39&gt;0,2,"")</f>
        <v/>
      </c>
      <c r="E39" s="1408">
        <v>0</v>
      </c>
      <c r="F39" s="1409" t="e">
        <f t="shared" ref="F39:F54" si="2">E39/$I$4</f>
        <v>#DIV/0!</v>
      </c>
      <c r="G39" s="1405"/>
      <c r="H39" s="1405"/>
      <c r="I39" s="1410" t="e">
        <f t="shared" si="0"/>
        <v>#DIV/0!</v>
      </c>
    </row>
    <row r="40" spans="1:11" x14ac:dyDescent="0.3">
      <c r="A40" s="1405">
        <v>15</v>
      </c>
      <c r="B40" s="1408">
        <v>0</v>
      </c>
      <c r="C40" s="1405" t="s">
        <v>1850</v>
      </c>
      <c r="D40" s="1406" t="str">
        <f>IF(B40&gt;0,3,"")</f>
        <v/>
      </c>
      <c r="E40" s="1408">
        <v>0</v>
      </c>
      <c r="F40" s="1409" t="e">
        <f>E40/$I$4</f>
        <v>#DIV/0!</v>
      </c>
      <c r="G40" s="1405"/>
      <c r="H40" s="1405"/>
      <c r="I40" s="1410" t="e">
        <f t="shared" si="0"/>
        <v>#DIV/0!</v>
      </c>
    </row>
    <row r="41" spans="1:11" x14ac:dyDescent="0.3">
      <c r="A41" s="1405">
        <v>16</v>
      </c>
      <c r="B41" s="1408">
        <v>0</v>
      </c>
      <c r="C41" s="1405" t="s">
        <v>1851</v>
      </c>
      <c r="D41" s="1406" t="str">
        <f>IF(B41&gt;0,3,"")</f>
        <v/>
      </c>
      <c r="E41" s="1408">
        <v>0</v>
      </c>
      <c r="F41" s="1409" t="e">
        <f t="shared" si="2"/>
        <v>#DIV/0!</v>
      </c>
      <c r="G41" s="1405"/>
      <c r="H41" s="1405"/>
      <c r="I41" s="1410" t="e">
        <f t="shared" si="0"/>
        <v>#DIV/0!</v>
      </c>
    </row>
    <row r="42" spans="1:11" x14ac:dyDescent="0.3">
      <c r="A42" s="1405">
        <v>17</v>
      </c>
      <c r="B42" s="1408">
        <v>0</v>
      </c>
      <c r="C42" s="1405" t="s">
        <v>1852</v>
      </c>
      <c r="D42" s="1406" t="str">
        <f>IF(B42&gt;0,4,"")</f>
        <v/>
      </c>
      <c r="E42" s="1408">
        <v>0</v>
      </c>
      <c r="F42" s="1409" t="e">
        <f t="shared" si="2"/>
        <v>#DIV/0!</v>
      </c>
      <c r="G42" s="1405"/>
      <c r="H42" s="1405"/>
      <c r="I42" s="1410" t="e">
        <f t="shared" si="0"/>
        <v>#DIV/0!</v>
      </c>
    </row>
    <row r="43" spans="1:11" x14ac:dyDescent="0.3">
      <c r="A43" s="1405">
        <v>18</v>
      </c>
      <c r="B43" s="1408">
        <v>0</v>
      </c>
      <c r="C43" s="1405" t="s">
        <v>1853</v>
      </c>
      <c r="D43" s="1406" t="str">
        <f>IF(B43&gt;0,4,"")</f>
        <v/>
      </c>
      <c r="E43" s="1408">
        <v>0</v>
      </c>
      <c r="F43" s="1409" t="e">
        <f t="shared" si="2"/>
        <v>#DIV/0!</v>
      </c>
      <c r="G43" s="1405"/>
      <c r="H43" s="1405"/>
      <c r="I43" s="1410" t="e">
        <f t="shared" si="0"/>
        <v>#DIV/0!</v>
      </c>
    </row>
    <row r="44" spans="1:11" x14ac:dyDescent="0.3">
      <c r="A44" s="1405">
        <v>19</v>
      </c>
      <c r="B44" s="1411"/>
      <c r="C44" s="1405"/>
      <c r="D44" s="1405" t="str">
        <f t="shared" ref="D44:D47" si="3">IF(B30&gt;0,4,"")</f>
        <v/>
      </c>
      <c r="E44" s="1411"/>
      <c r="F44" s="1409" t="e">
        <f t="shared" si="2"/>
        <v>#DIV/0!</v>
      </c>
      <c r="G44" s="1405"/>
      <c r="H44" s="1405"/>
      <c r="I44" s="1410" t="e">
        <f t="shared" si="0"/>
        <v>#DIV/0!</v>
      </c>
    </row>
    <row r="45" spans="1:11" ht="0.75" customHeight="1" x14ac:dyDescent="0.3">
      <c r="A45" s="1405">
        <v>20</v>
      </c>
      <c r="B45" s="1411"/>
      <c r="C45" s="1405"/>
      <c r="D45" s="1405" t="str">
        <f t="shared" si="3"/>
        <v/>
      </c>
      <c r="E45" s="1411"/>
      <c r="F45" s="1409" t="e">
        <f>E45/$I$4</f>
        <v>#DIV/0!</v>
      </c>
      <c r="G45" s="1405"/>
      <c r="H45" s="1405"/>
      <c r="I45" s="1410" t="e">
        <f t="shared" si="0"/>
        <v>#DIV/0!</v>
      </c>
    </row>
    <row r="46" spans="1:11" hidden="1" x14ac:dyDescent="0.3">
      <c r="A46" s="1405">
        <v>21</v>
      </c>
      <c r="B46" s="1411"/>
      <c r="C46" s="1405"/>
      <c r="D46" s="1405" t="str">
        <f t="shared" si="3"/>
        <v/>
      </c>
      <c r="E46" s="1411"/>
      <c r="F46" s="1409" t="e">
        <f t="shared" si="2"/>
        <v>#DIV/0!</v>
      </c>
      <c r="G46" s="1405"/>
      <c r="H46" s="1405"/>
      <c r="I46" s="1410" t="e">
        <f t="shared" si="0"/>
        <v>#DIV/0!</v>
      </c>
    </row>
    <row r="47" spans="1:11" hidden="1" x14ac:dyDescent="0.3">
      <c r="A47" s="1405">
        <v>22</v>
      </c>
      <c r="B47" s="1411"/>
      <c r="C47" s="1405"/>
      <c r="D47" s="1405" t="str">
        <f t="shared" si="3"/>
        <v/>
      </c>
      <c r="E47" s="1411"/>
      <c r="F47" s="1409" t="e">
        <f t="shared" si="2"/>
        <v>#DIV/0!</v>
      </c>
      <c r="G47" s="1405"/>
      <c r="H47" s="1405"/>
      <c r="I47" s="1410" t="e">
        <f t="shared" si="0"/>
        <v>#DIV/0!</v>
      </c>
    </row>
    <row r="48" spans="1:11" hidden="1" x14ac:dyDescent="0.3">
      <c r="A48" s="1412">
        <v>23</v>
      </c>
      <c r="B48" s="1411"/>
      <c r="C48" s="1405"/>
      <c r="D48" s="1405"/>
      <c r="E48" s="1411"/>
      <c r="F48" s="1409" t="e">
        <f t="shared" si="2"/>
        <v>#DIV/0!</v>
      </c>
      <c r="G48" s="1405"/>
      <c r="H48" s="1405"/>
      <c r="I48" s="1410" t="e">
        <f t="shared" si="0"/>
        <v>#DIV/0!</v>
      </c>
    </row>
    <row r="49" spans="1:18" hidden="1" x14ac:dyDescent="0.3">
      <c r="A49" s="1412">
        <v>24</v>
      </c>
      <c r="B49" s="1411"/>
      <c r="C49" s="1405"/>
      <c r="D49" s="1405"/>
      <c r="E49" s="1411"/>
      <c r="F49" s="1409" t="e">
        <f t="shared" si="2"/>
        <v>#DIV/0!</v>
      </c>
      <c r="G49" s="1405"/>
      <c r="H49" s="1405"/>
      <c r="I49" s="1410" t="e">
        <f t="shared" si="0"/>
        <v>#DIV/0!</v>
      </c>
    </row>
    <row r="50" spans="1:18" hidden="1" x14ac:dyDescent="0.3">
      <c r="A50" s="1412">
        <v>25</v>
      </c>
      <c r="B50" s="1411"/>
      <c r="C50" s="1405"/>
      <c r="D50" s="1405"/>
      <c r="E50" s="1411"/>
      <c r="F50" s="1409" t="e">
        <f t="shared" si="2"/>
        <v>#DIV/0!</v>
      </c>
      <c r="G50" s="1405"/>
      <c r="H50" s="1405"/>
      <c r="I50" s="1410" t="e">
        <f t="shared" si="0"/>
        <v>#DIV/0!</v>
      </c>
    </row>
    <row r="51" spans="1:18" hidden="1" x14ac:dyDescent="0.3">
      <c r="A51" s="1412">
        <v>26</v>
      </c>
      <c r="B51" s="1411"/>
      <c r="C51" s="1405"/>
      <c r="D51" s="1405"/>
      <c r="E51" s="1411"/>
      <c r="F51" s="1409" t="e">
        <f t="shared" si="2"/>
        <v>#DIV/0!</v>
      </c>
      <c r="G51" s="1405"/>
      <c r="H51" s="1405"/>
      <c r="I51" s="1410" t="e">
        <f t="shared" si="0"/>
        <v>#DIV/0!</v>
      </c>
    </row>
    <row r="52" spans="1:18" hidden="1" x14ac:dyDescent="0.3">
      <c r="A52" s="1412">
        <v>27</v>
      </c>
      <c r="B52" s="1411"/>
      <c r="C52" s="1405"/>
      <c r="D52" s="1405"/>
      <c r="E52" s="1411"/>
      <c r="F52" s="1409" t="e">
        <f t="shared" si="2"/>
        <v>#DIV/0!</v>
      </c>
      <c r="G52" s="1405"/>
      <c r="H52" s="1405"/>
      <c r="I52" s="1410" t="e">
        <f t="shared" si="0"/>
        <v>#DIV/0!</v>
      </c>
    </row>
    <row r="53" spans="1:18" hidden="1" x14ac:dyDescent="0.3">
      <c r="A53" s="1412">
        <v>28</v>
      </c>
      <c r="B53" s="1411"/>
      <c r="C53" s="1405"/>
      <c r="D53" s="1405"/>
      <c r="E53" s="1411"/>
      <c r="F53" s="1409" t="e">
        <f t="shared" si="2"/>
        <v>#DIV/0!</v>
      </c>
      <c r="G53" s="1405"/>
      <c r="H53" s="1405"/>
      <c r="I53" s="1410" t="e">
        <f t="shared" si="0"/>
        <v>#DIV/0!</v>
      </c>
    </row>
    <row r="54" spans="1:18" hidden="1" x14ac:dyDescent="0.3">
      <c r="A54" s="1405">
        <v>29</v>
      </c>
      <c r="B54" s="1411"/>
      <c r="C54" s="1405"/>
      <c r="D54" s="1405"/>
      <c r="E54" s="1411"/>
      <c r="F54" s="1409" t="e">
        <f t="shared" si="2"/>
        <v>#DIV/0!</v>
      </c>
      <c r="G54" s="1405"/>
      <c r="H54" s="1405"/>
      <c r="I54" s="1410" t="e">
        <f t="shared" si="0"/>
        <v>#DIV/0!</v>
      </c>
      <c r="R54" s="1413"/>
    </row>
    <row r="55" spans="1:18" x14ac:dyDescent="0.3">
      <c r="A55" s="1414"/>
      <c r="F55" s="1415"/>
      <c r="I55" s="1416"/>
      <c r="R55" s="1413"/>
    </row>
    <row r="56" spans="1:18" ht="15" thickBot="1" x14ac:dyDescent="0.35">
      <c r="A56" s="1417">
        <v>30</v>
      </c>
      <c r="B56" s="1417" t="s">
        <v>1854</v>
      </c>
      <c r="C56" s="1417"/>
      <c r="D56" s="1417"/>
      <c r="E56" s="1417"/>
      <c r="F56" s="1417"/>
      <c r="G56" s="1417"/>
      <c r="H56" s="1417"/>
      <c r="I56" s="1418" t="e">
        <f>SUM(I35:I47)</f>
        <v>#DIV/0!</v>
      </c>
    </row>
    <row r="57" spans="1:18" ht="15" thickTop="1" x14ac:dyDescent="0.3">
      <c r="A57" s="1372">
        <v>31</v>
      </c>
      <c r="B57" s="1372" t="s">
        <v>1855</v>
      </c>
      <c r="I57" s="1419">
        <f>IF(OR(I26="N",I26="No"),0,I25)</f>
        <v>0</v>
      </c>
    </row>
    <row r="58" spans="1:18" ht="15" thickBot="1" x14ac:dyDescent="0.35">
      <c r="A58" s="1420">
        <v>32</v>
      </c>
      <c r="B58" s="1417" t="s">
        <v>1856</v>
      </c>
      <c r="C58" s="1417"/>
      <c r="D58" s="1417"/>
      <c r="E58" s="1417"/>
      <c r="F58" s="1417"/>
      <c r="G58" s="1417"/>
      <c r="H58" s="1417"/>
      <c r="I58" s="1421" t="e">
        <f>I56-I57</f>
        <v>#DIV/0!</v>
      </c>
    </row>
    <row r="59" spans="1:18" ht="15" thickTop="1" x14ac:dyDescent="0.3">
      <c r="A59" s="1422"/>
      <c r="I59" s="1423"/>
    </row>
    <row r="60" spans="1:18" x14ac:dyDescent="0.3">
      <c r="A60" s="1373" t="s">
        <v>1857</v>
      </c>
      <c r="B60" s="1374"/>
      <c r="C60" s="1374"/>
      <c r="D60" s="1374"/>
      <c r="E60" s="1374"/>
      <c r="F60" s="1374"/>
      <c r="G60" s="1374"/>
      <c r="H60" s="1374"/>
      <c r="I60" s="1404"/>
    </row>
    <row r="61" spans="1:18" x14ac:dyDescent="0.3">
      <c r="A61" s="1424"/>
      <c r="B61" s="1425" t="s">
        <v>308</v>
      </c>
      <c r="C61" s="1425" t="s">
        <v>1858</v>
      </c>
      <c r="D61" s="1425" t="s">
        <v>1859</v>
      </c>
      <c r="E61" s="1426" t="s">
        <v>1860</v>
      </c>
      <c r="I61" s="1427"/>
    </row>
    <row r="62" spans="1:18" x14ac:dyDescent="0.3">
      <c r="A62" s="1428">
        <v>33</v>
      </c>
      <c r="B62" s="1429">
        <f>B35</f>
        <v>0</v>
      </c>
      <c r="C62" s="1427" t="s">
        <v>1861</v>
      </c>
      <c r="D62" s="1430">
        <f>IF(OR($I$5="",$I$5="No"),E80,F80)</f>
        <v>181488</v>
      </c>
      <c r="E62" s="1431">
        <f>B62*D62</f>
        <v>0</v>
      </c>
      <c r="I62" s="1427"/>
    </row>
    <row r="63" spans="1:18" x14ac:dyDescent="0.3">
      <c r="A63" s="1427">
        <v>34</v>
      </c>
      <c r="B63" s="1429">
        <f>SUM(B36:B37)</f>
        <v>0</v>
      </c>
      <c r="C63" s="1427" t="s">
        <v>1349</v>
      </c>
      <c r="D63" s="1430">
        <f t="shared" ref="D63:D66" si="4">IF(OR($I$5="",$I$5="No"),E81,F81)</f>
        <v>208048.8</v>
      </c>
      <c r="E63" s="1431">
        <f>B63*D63</f>
        <v>0</v>
      </c>
      <c r="I63" s="1427"/>
    </row>
    <row r="64" spans="1:18" x14ac:dyDescent="0.3">
      <c r="A64" s="1427">
        <v>35</v>
      </c>
      <c r="B64" s="1429">
        <f>B38+B39</f>
        <v>0</v>
      </c>
      <c r="C64" s="1427" t="s">
        <v>1350</v>
      </c>
      <c r="D64" s="1430">
        <f t="shared" si="4"/>
        <v>252993.59999999998</v>
      </c>
      <c r="E64" s="1431">
        <f t="shared" ref="E64:E66" si="5">B64*D64</f>
        <v>0</v>
      </c>
      <c r="I64" s="1427"/>
    </row>
    <row r="65" spans="1:9" x14ac:dyDescent="0.3">
      <c r="A65" s="1427">
        <v>36</v>
      </c>
      <c r="B65" s="1429">
        <f>B40+B41</f>
        <v>0</v>
      </c>
      <c r="C65" s="1427" t="s">
        <v>1351</v>
      </c>
      <c r="D65" s="1430">
        <f t="shared" si="4"/>
        <v>327292.79999999999</v>
      </c>
      <c r="E65" s="1431">
        <f t="shared" si="5"/>
        <v>0</v>
      </c>
      <c r="I65" s="1427"/>
    </row>
    <row r="66" spans="1:9" x14ac:dyDescent="0.3">
      <c r="A66" s="1427">
        <v>37</v>
      </c>
      <c r="B66" s="1429">
        <f>B42+B43</f>
        <v>0</v>
      </c>
      <c r="C66" s="1427" t="s">
        <v>1352</v>
      </c>
      <c r="D66" s="1430">
        <f t="shared" si="4"/>
        <v>359263.2</v>
      </c>
      <c r="E66" s="1431">
        <f t="shared" si="5"/>
        <v>0</v>
      </c>
      <c r="I66" s="1427"/>
    </row>
    <row r="67" spans="1:9" ht="15" thickBot="1" x14ac:dyDescent="0.35">
      <c r="A67" s="1432">
        <v>38</v>
      </c>
      <c r="B67" s="1432" t="s">
        <v>1862</v>
      </c>
      <c r="C67" s="1432"/>
      <c r="D67" s="1432"/>
      <c r="E67" s="1432"/>
      <c r="F67" s="1393"/>
      <c r="G67" s="1393"/>
      <c r="H67" s="1393"/>
      <c r="I67" s="1433">
        <f>SUM(E62:E66)</f>
        <v>0</v>
      </c>
    </row>
    <row r="68" spans="1:9" ht="15" thickTop="1" x14ac:dyDescent="0.3">
      <c r="A68" s="1422"/>
      <c r="I68" s="1434"/>
    </row>
    <row r="69" spans="1:9" x14ac:dyDescent="0.3">
      <c r="A69" s="1435"/>
      <c r="I69" s="1416"/>
    </row>
    <row r="70" spans="1:9" x14ac:dyDescent="0.3">
      <c r="A70" s="1373" t="s">
        <v>1863</v>
      </c>
      <c r="B70" s="1374"/>
      <c r="C70" s="1374"/>
      <c r="D70" s="1374"/>
      <c r="E70" s="1374"/>
      <c r="F70" s="1374"/>
      <c r="G70" s="1374"/>
      <c r="H70" s="1374"/>
      <c r="I70" s="1436"/>
    </row>
    <row r="71" spans="1:9" x14ac:dyDescent="0.3">
      <c r="A71" s="1435">
        <v>39</v>
      </c>
      <c r="B71" s="1372" t="s">
        <v>1864</v>
      </c>
      <c r="I71" s="1437">
        <f>I8</f>
        <v>0</v>
      </c>
    </row>
    <row r="72" spans="1:9" x14ac:dyDescent="0.3">
      <c r="A72" s="1435">
        <v>40</v>
      </c>
      <c r="B72" s="1372" t="s">
        <v>1865</v>
      </c>
      <c r="I72" s="1438" t="e">
        <f>I58</f>
        <v>#DIV/0!</v>
      </c>
    </row>
    <row r="73" spans="1:9" x14ac:dyDescent="0.3">
      <c r="A73" s="1435">
        <v>41</v>
      </c>
      <c r="B73" s="1372" t="s">
        <v>1866</v>
      </c>
      <c r="I73" s="1438">
        <f>I67</f>
        <v>0</v>
      </c>
    </row>
    <row r="74" spans="1:9" ht="15" thickBot="1" x14ac:dyDescent="0.35">
      <c r="A74" s="1435"/>
      <c r="I74" s="1439"/>
    </row>
    <row r="75" spans="1:9" ht="15" thickBot="1" x14ac:dyDescent="0.35">
      <c r="A75" s="1440"/>
      <c r="B75" s="1378"/>
      <c r="C75" s="1378"/>
      <c r="D75" s="1378"/>
      <c r="E75" s="1378"/>
      <c r="F75" s="1378" t="s">
        <v>1867</v>
      </c>
      <c r="G75" s="1378"/>
      <c r="H75" s="1441"/>
      <c r="I75" s="1442" t="e">
        <f>MIN(I71:I73)</f>
        <v>#DIV/0!</v>
      </c>
    </row>
    <row r="77" spans="1:9" ht="15" thickBot="1" x14ac:dyDescent="0.35">
      <c r="C77" s="1443" t="s">
        <v>1868</v>
      </c>
    </row>
    <row r="78" spans="1:9" ht="15" thickBot="1" x14ac:dyDescent="0.35">
      <c r="A78" s="1802" t="s">
        <v>1869</v>
      </c>
      <c r="B78" s="1803"/>
      <c r="C78" s="1803"/>
      <c r="D78" s="1803"/>
      <c r="E78" s="1803"/>
      <c r="F78" s="1804"/>
    </row>
    <row r="79" spans="1:9" x14ac:dyDescent="0.3">
      <c r="A79" s="1444" t="s">
        <v>1870</v>
      </c>
      <c r="B79" s="1445" t="s">
        <v>1871</v>
      </c>
      <c r="C79" s="1445" t="s">
        <v>1872</v>
      </c>
      <c r="D79" s="1446" t="s">
        <v>1873</v>
      </c>
      <c r="E79" s="1445"/>
      <c r="F79" s="1447" t="s">
        <v>1872</v>
      </c>
    </row>
    <row r="80" spans="1:9" x14ac:dyDescent="0.3">
      <c r="A80" s="1448">
        <v>0</v>
      </c>
      <c r="B80" s="1449">
        <v>71856</v>
      </c>
      <c r="C80" s="1450">
        <v>75620</v>
      </c>
      <c r="D80" s="1451">
        <v>2.4</v>
      </c>
      <c r="E80" s="1449"/>
      <c r="F80" s="1452">
        <f>C80*D80</f>
        <v>181488</v>
      </c>
    </row>
    <row r="81" spans="1:7" x14ac:dyDescent="0.3">
      <c r="A81" s="1448">
        <v>1</v>
      </c>
      <c r="B81" s="1449">
        <v>82853</v>
      </c>
      <c r="C81" s="1450">
        <v>86687</v>
      </c>
      <c r="D81" s="1451">
        <v>2.4</v>
      </c>
      <c r="E81" s="1453"/>
      <c r="F81" s="1452">
        <f>C81*D81</f>
        <v>208048.8</v>
      </c>
    </row>
    <row r="82" spans="1:7" x14ac:dyDescent="0.3">
      <c r="A82" s="1448">
        <v>2</v>
      </c>
      <c r="B82" s="1449">
        <v>99923</v>
      </c>
      <c r="C82" s="1450">
        <v>105414</v>
      </c>
      <c r="D82" s="1451">
        <v>2.4</v>
      </c>
      <c r="E82" s="1453"/>
      <c r="F82" s="1452">
        <f t="shared" ref="F82:F84" si="6">C82*D82</f>
        <v>252993.59999999998</v>
      </c>
    </row>
    <row r="83" spans="1:7" x14ac:dyDescent="0.3">
      <c r="A83" s="1448">
        <v>3</v>
      </c>
      <c r="B83" s="1449">
        <v>127906</v>
      </c>
      <c r="C83" s="1449">
        <v>136372</v>
      </c>
      <c r="D83" s="1451">
        <v>2.4</v>
      </c>
      <c r="E83" s="1453"/>
      <c r="F83" s="1452">
        <f t="shared" si="6"/>
        <v>327292.79999999999</v>
      </c>
    </row>
    <row r="84" spans="1:7" x14ac:dyDescent="0.3">
      <c r="A84" s="1454" t="s">
        <v>1874</v>
      </c>
      <c r="B84" s="1449">
        <v>142493</v>
      </c>
      <c r="C84" s="1449">
        <v>149693</v>
      </c>
      <c r="D84" s="1451">
        <v>2.4</v>
      </c>
      <c r="E84" s="1453"/>
      <c r="F84" s="1452">
        <f t="shared" si="6"/>
        <v>359263.2</v>
      </c>
    </row>
    <row r="85" spans="1:7" x14ac:dyDescent="0.3">
      <c r="A85" s="1448"/>
      <c r="F85" s="1455"/>
    </row>
    <row r="86" spans="1:7" ht="15" thickBot="1" x14ac:dyDescent="0.35">
      <c r="A86" s="1456" t="s">
        <v>1875</v>
      </c>
      <c r="B86" s="1457"/>
      <c r="C86" s="1457"/>
      <c r="D86" s="1457"/>
      <c r="E86" s="1457"/>
      <c r="F86" s="1458"/>
      <c r="G86" s="1372" t="s">
        <v>1876</v>
      </c>
    </row>
  </sheetData>
  <mergeCells count="2">
    <mergeCell ref="A33:H33"/>
    <mergeCell ref="A78:F78"/>
  </mergeCells>
  <dataValidations count="1">
    <dataValidation type="list" allowBlank="1" showInputMessage="1" showErrorMessage="1" sqref="I5" xr:uid="{8B32AF88-3437-4AA3-A2C5-99B105EEA0BC}">
      <formula1>"Yes, No"</formula1>
    </dataValidation>
  </dataValidations>
  <hyperlinks>
    <hyperlink ref="A86" r:id="rId1" xr:uid="{B7167D95-34E1-43F7-9980-F34626A63DCA}"/>
  </hyperlinks>
  <pageMargins left="0.7" right="0.7" top="0.75" bottom="0.75" header="0.3" footer="0.3"/>
  <pageSetup scale="68"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M56"/>
  <sheetViews>
    <sheetView showGridLines="0" zoomScale="110" zoomScaleNormal="110" zoomScaleSheetLayoutView="100" workbookViewId="0">
      <selection sqref="A1:M1"/>
    </sheetView>
  </sheetViews>
  <sheetFormatPr defaultColWidth="9.109375" defaultRowHeight="10.199999999999999" x14ac:dyDescent="0.2"/>
  <cols>
    <col min="1" max="1" width="2.6640625" style="710" customWidth="1"/>
    <col min="2" max="2" width="4.6640625" style="710" customWidth="1"/>
    <col min="3" max="12" width="8.33203125" style="710" customWidth="1"/>
    <col min="13" max="13" width="2.6640625" style="710" customWidth="1"/>
    <col min="14" max="21" width="9.33203125" style="710" customWidth="1"/>
    <col min="22" max="16384" width="9.109375" style="710"/>
  </cols>
  <sheetData>
    <row r="1" spans="1:13" s="699" customFormat="1" ht="15.6" x14ac:dyDescent="0.3">
      <c r="A1" s="1472" t="s">
        <v>790</v>
      </c>
      <c r="B1" s="1472"/>
      <c r="C1" s="1472"/>
      <c r="D1" s="1472"/>
      <c r="E1" s="1472"/>
      <c r="F1" s="1472"/>
      <c r="G1" s="1472"/>
      <c r="H1" s="1472"/>
      <c r="I1" s="1472"/>
      <c r="J1" s="1472"/>
      <c r="K1" s="1472"/>
      <c r="L1" s="1472"/>
      <c r="M1" s="1472"/>
    </row>
    <row r="2" spans="1:13" s="699" customFormat="1" ht="15.6" x14ac:dyDescent="0.3">
      <c r="A2" s="1472" t="s">
        <v>791</v>
      </c>
      <c r="B2" s="1472"/>
      <c r="C2" s="1472"/>
      <c r="D2" s="1472"/>
      <c r="E2" s="1472"/>
      <c r="F2" s="1472"/>
      <c r="G2" s="1472"/>
      <c r="H2" s="1472"/>
      <c r="I2" s="1472"/>
      <c r="J2" s="1472"/>
      <c r="K2" s="1472"/>
      <c r="L2" s="1472"/>
      <c r="M2" s="1472"/>
    </row>
    <row r="3" spans="1:13" s="699" customFormat="1" ht="15.6" x14ac:dyDescent="0.3">
      <c r="C3" s="693"/>
      <c r="D3" s="693"/>
      <c r="E3" s="700"/>
      <c r="F3" s="700"/>
      <c r="G3" s="701" t="str">
        <f>'Project Information'!D4</f>
        <v>Project Name</v>
      </c>
      <c r="H3" s="700"/>
      <c r="I3" s="700"/>
      <c r="J3" s="700"/>
    </row>
    <row r="4" spans="1:13" s="699" customFormat="1" ht="15.6" x14ac:dyDescent="0.3">
      <c r="A4" s="1474" t="s">
        <v>792</v>
      </c>
      <c r="B4" s="1474"/>
      <c r="C4" s="1474"/>
      <c r="D4" s="1474"/>
      <c r="E4" s="1474"/>
      <c r="F4" s="1474"/>
      <c r="G4" s="1474"/>
      <c r="H4" s="1474"/>
      <c r="I4" s="1474"/>
      <c r="J4" s="1474"/>
      <c r="K4" s="1474"/>
      <c r="L4" s="1474"/>
      <c r="M4" s="1474"/>
    </row>
    <row r="5" spans="1:13" s="699" customFormat="1" ht="15.6" x14ac:dyDescent="0.3">
      <c r="C5" s="693"/>
      <c r="D5" s="693"/>
      <c r="E5" s="700"/>
      <c r="F5" s="700"/>
      <c r="G5" s="700"/>
      <c r="H5" s="700"/>
      <c r="I5" s="700"/>
      <c r="J5" s="700"/>
    </row>
    <row r="6" spans="1:13" s="702" customFormat="1" ht="26.1" customHeight="1" x14ac:dyDescent="0.25">
      <c r="A6" s="306"/>
      <c r="B6" s="1475" t="s">
        <v>793</v>
      </c>
      <c r="C6" s="1475"/>
      <c r="D6" s="1475"/>
      <c r="E6" s="1475"/>
      <c r="F6" s="1475"/>
      <c r="G6" s="1475"/>
      <c r="H6" s="1475"/>
      <c r="I6" s="1475"/>
      <c r="J6" s="1475"/>
      <c r="K6" s="1475"/>
      <c r="L6" s="1475"/>
    </row>
    <row r="7" spans="1:13" s="702" customFormat="1" ht="13.2" x14ac:dyDescent="0.25">
      <c r="A7" s="306"/>
      <c r="B7" s="306"/>
      <c r="E7" s="703"/>
      <c r="F7" s="703"/>
      <c r="G7" s="703"/>
      <c r="H7" s="703"/>
      <c r="I7" s="703"/>
      <c r="J7" s="703"/>
    </row>
    <row r="8" spans="1:13" s="702" customFormat="1" ht="13.2" x14ac:dyDescent="0.25">
      <c r="B8" s="704" t="s">
        <v>794</v>
      </c>
      <c r="C8" s="326" t="s">
        <v>795</v>
      </c>
      <c r="E8" s="703"/>
      <c r="F8" s="703"/>
      <c r="G8" s="704" t="s">
        <v>794</v>
      </c>
      <c r="H8" s="326" t="s">
        <v>796</v>
      </c>
      <c r="I8" s="703"/>
      <c r="J8" s="703"/>
    </row>
    <row r="9" spans="1:13" s="702" customFormat="1" ht="13.2" x14ac:dyDescent="0.25">
      <c r="B9" s="704" t="s">
        <v>794</v>
      </c>
      <c r="C9" s="326" t="s">
        <v>797</v>
      </c>
      <c r="E9" s="703"/>
      <c r="F9" s="703"/>
      <c r="G9" s="704" t="s">
        <v>794</v>
      </c>
      <c r="H9" s="326" t="s">
        <v>798</v>
      </c>
      <c r="I9" s="703"/>
      <c r="J9" s="703"/>
    </row>
    <row r="10" spans="1:13" s="702" customFormat="1" ht="13.2" x14ac:dyDescent="0.25">
      <c r="B10" s="704" t="s">
        <v>794</v>
      </c>
      <c r="C10" s="326" t="s">
        <v>799</v>
      </c>
      <c r="E10" s="703"/>
      <c r="F10" s="703"/>
      <c r="G10" s="704" t="s">
        <v>794</v>
      </c>
      <c r="H10" s="326" t="s">
        <v>800</v>
      </c>
      <c r="I10" s="703"/>
      <c r="J10" s="703"/>
    </row>
    <row r="11" spans="1:13" s="702" customFormat="1" ht="13.2" x14ac:dyDescent="0.25">
      <c r="B11" s="704" t="s">
        <v>794</v>
      </c>
      <c r="C11" s="326" t="s">
        <v>801</v>
      </c>
      <c r="E11" s="703"/>
      <c r="F11" s="703"/>
      <c r="G11" s="704" t="s">
        <v>794</v>
      </c>
      <c r="H11" s="326" t="s">
        <v>802</v>
      </c>
      <c r="I11" s="703"/>
      <c r="J11" s="703"/>
    </row>
    <row r="12" spans="1:13" s="702" customFormat="1" ht="13.2" x14ac:dyDescent="0.25">
      <c r="B12" s="704" t="s">
        <v>794</v>
      </c>
      <c r="C12" s="326" t="s">
        <v>803</v>
      </c>
      <c r="E12" s="703"/>
      <c r="F12" s="703"/>
      <c r="G12" s="704" t="s">
        <v>794</v>
      </c>
      <c r="H12" s="326" t="s">
        <v>804</v>
      </c>
      <c r="I12" s="703"/>
      <c r="J12" s="703"/>
    </row>
    <row r="13" spans="1:13" s="702" customFormat="1" ht="13.2" x14ac:dyDescent="0.25">
      <c r="B13" s="704" t="s">
        <v>794</v>
      </c>
      <c r="C13" s="326" t="s">
        <v>805</v>
      </c>
      <c r="E13" s="703"/>
      <c r="F13" s="703"/>
      <c r="G13" s="704" t="s">
        <v>794</v>
      </c>
      <c r="H13" s="326" t="s">
        <v>806</v>
      </c>
      <c r="I13" s="703"/>
      <c r="J13" s="703"/>
    </row>
    <row r="14" spans="1:13" s="702" customFormat="1" ht="13.2" x14ac:dyDescent="0.25">
      <c r="B14" s="704" t="s">
        <v>794</v>
      </c>
      <c r="C14" s="326" t="s">
        <v>807</v>
      </c>
      <c r="E14" s="703"/>
      <c r="F14" s="703"/>
      <c r="G14" s="704" t="s">
        <v>794</v>
      </c>
      <c r="H14" s="326" t="s">
        <v>355</v>
      </c>
      <c r="I14" s="703"/>
      <c r="J14" s="703"/>
    </row>
    <row r="15" spans="1:13" s="702" customFormat="1" ht="13.2" x14ac:dyDescent="0.25">
      <c r="B15" s="704" t="s">
        <v>794</v>
      </c>
      <c r="C15" s="326" t="s">
        <v>640</v>
      </c>
      <c r="E15" s="703"/>
      <c r="F15" s="703"/>
      <c r="G15" s="704" t="s">
        <v>794</v>
      </c>
      <c r="H15" s="326" t="s">
        <v>808</v>
      </c>
      <c r="I15" s="703"/>
      <c r="J15" s="703"/>
    </row>
    <row r="16" spans="1:13" s="702" customFormat="1" ht="13.2" x14ac:dyDescent="0.25">
      <c r="B16" s="704" t="s">
        <v>794</v>
      </c>
      <c r="C16" s="326" t="s">
        <v>809</v>
      </c>
      <c r="E16" s="703"/>
      <c r="F16" s="703"/>
      <c r="G16" s="704"/>
      <c r="H16" s="705" t="s">
        <v>810</v>
      </c>
      <c r="I16" s="703"/>
      <c r="J16" s="703"/>
    </row>
    <row r="17" spans="1:13" s="702" customFormat="1" ht="13.2" x14ac:dyDescent="0.25">
      <c r="B17" s="704" t="s">
        <v>794</v>
      </c>
      <c r="C17" s="326" t="s">
        <v>811</v>
      </c>
      <c r="E17" s="703"/>
      <c r="F17" s="703"/>
      <c r="G17" s="704" t="s">
        <v>794</v>
      </c>
      <c r="H17" s="702" t="s">
        <v>812</v>
      </c>
      <c r="I17" s="703"/>
      <c r="J17" s="703"/>
    </row>
    <row r="18" spans="1:13" s="702" customFormat="1" ht="13.2" x14ac:dyDescent="0.25">
      <c r="C18" s="706"/>
      <c r="E18" s="703"/>
      <c r="F18" s="703"/>
      <c r="G18" s="703"/>
      <c r="H18" s="703"/>
      <c r="I18" s="703"/>
      <c r="J18" s="703"/>
    </row>
    <row r="19" spans="1:13" s="702" customFormat="1" ht="13.2" x14ac:dyDescent="0.25">
      <c r="B19" s="702" t="s">
        <v>1116</v>
      </c>
      <c r="C19" s="706"/>
      <c r="E19" s="703"/>
      <c r="F19" s="703"/>
      <c r="G19" s="703"/>
      <c r="H19" s="703"/>
      <c r="I19" s="703"/>
      <c r="J19" s="703"/>
    </row>
    <row r="20" spans="1:13" s="702" customFormat="1" ht="13.2" x14ac:dyDescent="0.25">
      <c r="C20" s="706"/>
      <c r="E20" s="703"/>
      <c r="F20" s="703"/>
      <c r="G20" s="703"/>
      <c r="H20" s="703"/>
      <c r="I20" s="703"/>
      <c r="J20" s="703"/>
    </row>
    <row r="21" spans="1:13" s="702" customFormat="1" ht="54.9" customHeight="1" x14ac:dyDescent="0.25">
      <c r="B21" s="1473" t="s">
        <v>813</v>
      </c>
      <c r="C21" s="1473"/>
      <c r="D21" s="1473"/>
      <c r="E21" s="1473"/>
      <c r="F21" s="1473"/>
      <c r="G21" s="1473"/>
      <c r="H21" s="1473"/>
      <c r="I21" s="1473"/>
      <c r="J21" s="1473"/>
      <c r="K21" s="1473"/>
      <c r="L21" s="1473"/>
    </row>
    <row r="22" spans="1:13" s="702" customFormat="1" ht="39.9" customHeight="1" thickBot="1" x14ac:dyDescent="0.3">
      <c r="B22" s="1473" t="s">
        <v>814</v>
      </c>
      <c r="C22" s="1473"/>
      <c r="D22" s="1473"/>
      <c r="E22" s="1473"/>
      <c r="F22" s="1473"/>
      <c r="G22" s="1473"/>
      <c r="H22" s="1473"/>
      <c r="I22" s="1473"/>
      <c r="J22" s="1473"/>
      <c r="K22" s="1473"/>
      <c r="L22" s="1473"/>
    </row>
    <row r="23" spans="1:13" ht="10.8" thickTop="1" x14ac:dyDescent="0.2">
      <c r="A23" s="707"/>
      <c r="B23" s="708"/>
      <c r="C23" s="708"/>
      <c r="D23" s="708"/>
      <c r="E23" s="708"/>
      <c r="F23" s="708"/>
      <c r="G23" s="708"/>
      <c r="H23" s="708"/>
      <c r="I23" s="708"/>
      <c r="J23" s="708"/>
      <c r="K23" s="708"/>
      <c r="L23" s="708"/>
      <c r="M23" s="709"/>
    </row>
    <row r="24" spans="1:13" s="302" customFormat="1" ht="15.6" x14ac:dyDescent="0.3">
      <c r="A24" s="711"/>
      <c r="B24" s="1474" t="s">
        <v>815</v>
      </c>
      <c r="C24" s="1474"/>
      <c r="D24" s="1474"/>
      <c r="E24" s="1474"/>
      <c r="F24" s="1474"/>
      <c r="G24" s="1474"/>
      <c r="H24" s="1474"/>
      <c r="I24" s="1474"/>
      <c r="J24" s="1474"/>
      <c r="K24" s="1474"/>
      <c r="L24" s="1474"/>
      <c r="M24" s="712"/>
    </row>
    <row r="25" spans="1:13" s="302" customFormat="1" ht="13.2" x14ac:dyDescent="0.25">
      <c r="A25" s="711"/>
      <c r="C25" s="713"/>
      <c r="D25" s="713"/>
      <c r="E25" s="713"/>
      <c r="F25" s="713"/>
      <c r="G25" s="713"/>
      <c r="H25" s="713"/>
      <c r="I25" s="713"/>
      <c r="J25" s="713"/>
      <c r="K25" s="713"/>
      <c r="L25" s="713"/>
      <c r="M25" s="712"/>
    </row>
    <row r="26" spans="1:13" s="302" customFormat="1" ht="39.9" customHeight="1" x14ac:dyDescent="0.25">
      <c r="A26" s="714"/>
      <c r="B26" s="1477" t="s">
        <v>816</v>
      </c>
      <c r="C26" s="1477"/>
      <c r="D26" s="1477"/>
      <c r="E26" s="1477"/>
      <c r="F26" s="1477"/>
      <c r="G26" s="1477"/>
      <c r="H26" s="1477"/>
      <c r="I26" s="1477"/>
      <c r="J26" s="1477"/>
      <c r="K26" s="1477"/>
      <c r="L26" s="1477"/>
      <c r="M26" s="712"/>
    </row>
    <row r="27" spans="1:13" s="302" customFormat="1" ht="39.9" customHeight="1" x14ac:dyDescent="0.25">
      <c r="A27" s="715"/>
      <c r="B27" s="716" t="s">
        <v>794</v>
      </c>
      <c r="C27" s="1476" t="s">
        <v>817</v>
      </c>
      <c r="D27" s="1476"/>
      <c r="E27" s="1476"/>
      <c r="F27" s="1476"/>
      <c r="G27" s="1476"/>
      <c r="H27" s="1476"/>
      <c r="I27" s="1476"/>
      <c r="J27" s="1476"/>
      <c r="K27" s="1476"/>
      <c r="L27" s="1476"/>
      <c r="M27" s="712"/>
    </row>
    <row r="28" spans="1:13" s="302" customFormat="1" ht="50.1" customHeight="1" x14ac:dyDescent="0.25">
      <c r="A28" s="715"/>
      <c r="B28" s="716" t="s">
        <v>794</v>
      </c>
      <c r="C28" s="1476" t="s">
        <v>818</v>
      </c>
      <c r="D28" s="1476"/>
      <c r="E28" s="1476"/>
      <c r="F28" s="1476"/>
      <c r="G28" s="1476"/>
      <c r="H28" s="1476"/>
      <c r="I28" s="1476"/>
      <c r="J28" s="1476"/>
      <c r="K28" s="1476"/>
      <c r="L28" s="1476"/>
      <c r="M28" s="712"/>
    </row>
    <row r="29" spans="1:13" s="302" customFormat="1" ht="39.9" customHeight="1" x14ac:dyDescent="0.25">
      <c r="A29" s="715"/>
      <c r="B29" s="716" t="s">
        <v>794</v>
      </c>
      <c r="C29" s="1476" t="s">
        <v>819</v>
      </c>
      <c r="D29" s="1476"/>
      <c r="E29" s="1476"/>
      <c r="F29" s="1476"/>
      <c r="G29" s="1476"/>
      <c r="H29" s="1476"/>
      <c r="I29" s="1476"/>
      <c r="J29" s="1476"/>
      <c r="K29" s="1476"/>
      <c r="L29" s="1476"/>
      <c r="M29" s="712"/>
    </row>
    <row r="30" spans="1:13" s="302" customFormat="1" ht="75" customHeight="1" x14ac:dyDescent="0.25">
      <c r="A30" s="715"/>
      <c r="B30" s="716" t="s">
        <v>794</v>
      </c>
      <c r="C30" s="1476" t="s">
        <v>820</v>
      </c>
      <c r="D30" s="1476"/>
      <c r="E30" s="1476"/>
      <c r="F30" s="1476"/>
      <c r="G30" s="1476"/>
      <c r="H30" s="1476"/>
      <c r="I30" s="1476"/>
      <c r="J30" s="1476"/>
      <c r="K30" s="1476"/>
      <c r="L30" s="1476"/>
      <c r="M30" s="712"/>
    </row>
    <row r="31" spans="1:13" s="302" customFormat="1" ht="13.8" thickBot="1" x14ac:dyDescent="0.3">
      <c r="A31" s="717"/>
      <c r="B31" s="304"/>
      <c r="C31" s="718"/>
      <c r="D31" s="718"/>
      <c r="E31" s="718"/>
      <c r="F31" s="718"/>
      <c r="G31" s="718"/>
      <c r="H31" s="718"/>
      <c r="I31" s="718"/>
      <c r="J31" s="718"/>
      <c r="K31" s="718"/>
      <c r="L31" s="718"/>
      <c r="M31" s="719"/>
    </row>
    <row r="32" spans="1:13" s="302" customFormat="1" ht="13.8" thickTop="1" x14ac:dyDescent="0.25">
      <c r="C32" s="720"/>
      <c r="D32" s="720"/>
      <c r="E32" s="720"/>
      <c r="F32" s="720"/>
      <c r="G32" s="720"/>
      <c r="H32" s="720"/>
      <c r="I32" s="720"/>
      <c r="J32" s="720"/>
      <c r="K32" s="720"/>
      <c r="L32" s="720"/>
    </row>
    <row r="33" spans="1:13" s="302" customFormat="1" ht="13.8" thickBot="1" x14ac:dyDescent="0.3">
      <c r="C33" s="720"/>
      <c r="D33" s="720"/>
      <c r="E33" s="720"/>
      <c r="F33" s="720"/>
      <c r="G33" s="720"/>
      <c r="H33" s="720"/>
      <c r="I33" s="720"/>
      <c r="J33" s="720"/>
      <c r="K33" s="720"/>
      <c r="L33" s="720"/>
    </row>
    <row r="34" spans="1:13" s="302" customFormat="1" ht="13.8" thickTop="1" x14ac:dyDescent="0.25">
      <c r="A34" s="721"/>
      <c r="B34" s="722"/>
      <c r="C34" s="723"/>
      <c r="D34" s="723"/>
      <c r="E34" s="723"/>
      <c r="F34" s="723"/>
      <c r="G34" s="723"/>
      <c r="H34" s="723"/>
      <c r="I34" s="723"/>
      <c r="J34" s="723"/>
      <c r="K34" s="723"/>
      <c r="L34" s="723"/>
      <c r="M34" s="724" t="str">
        <f>G3</f>
        <v>Project Name</v>
      </c>
    </row>
    <row r="35" spans="1:13" s="302" customFormat="1" ht="15.75" customHeight="1" x14ac:dyDescent="0.3">
      <c r="A35" s="711"/>
      <c r="C35" s="1474" t="s">
        <v>821</v>
      </c>
      <c r="D35" s="1474"/>
      <c r="E35" s="1474"/>
      <c r="F35" s="1474"/>
      <c r="G35" s="1474"/>
      <c r="H35" s="1474"/>
      <c r="I35" s="1474"/>
      <c r="J35" s="1474"/>
      <c r="K35" s="1474"/>
      <c r="L35" s="1474"/>
      <c r="M35" s="712"/>
    </row>
    <row r="36" spans="1:13" s="302" customFormat="1" ht="13.2" x14ac:dyDescent="0.25">
      <c r="A36" s="711"/>
      <c r="C36" s="720"/>
      <c r="D36" s="720"/>
      <c r="E36" s="720"/>
      <c r="F36" s="720"/>
      <c r="G36" s="720"/>
      <c r="H36" s="720"/>
      <c r="I36" s="720"/>
      <c r="J36" s="720"/>
      <c r="K36" s="720"/>
      <c r="L36" s="720"/>
      <c r="M36" s="712"/>
    </row>
    <row r="37" spans="1:13" s="302" customFormat="1" ht="39.9" customHeight="1" x14ac:dyDescent="0.25">
      <c r="A37" s="711" t="s">
        <v>468</v>
      </c>
      <c r="B37" s="1477" t="s">
        <v>822</v>
      </c>
      <c r="C37" s="1477"/>
      <c r="D37" s="1477"/>
      <c r="E37" s="1477"/>
      <c r="F37" s="1477"/>
      <c r="G37" s="1477"/>
      <c r="H37" s="1477"/>
      <c r="I37" s="1477"/>
      <c r="J37" s="1477"/>
      <c r="K37" s="1477"/>
      <c r="L37" s="1477"/>
      <c r="M37" s="712"/>
    </row>
    <row r="38" spans="1:13" s="302" customFormat="1" ht="24.9" customHeight="1" x14ac:dyDescent="0.25">
      <c r="A38" s="711"/>
      <c r="B38" s="716" t="s">
        <v>794</v>
      </c>
      <c r="C38" s="1476" t="s">
        <v>823</v>
      </c>
      <c r="D38" s="1476"/>
      <c r="E38" s="1476"/>
      <c r="F38" s="1476"/>
      <c r="G38" s="1476"/>
      <c r="H38" s="1476"/>
      <c r="I38" s="1476"/>
      <c r="J38" s="1476"/>
      <c r="K38" s="1476"/>
      <c r="L38" s="1476"/>
      <c r="M38" s="712"/>
    </row>
    <row r="39" spans="1:13" s="302" customFormat="1" ht="39.9" customHeight="1" x14ac:dyDescent="0.25">
      <c r="A39" s="711"/>
      <c r="B39" s="716" t="s">
        <v>794</v>
      </c>
      <c r="C39" s="1476" t="s">
        <v>824</v>
      </c>
      <c r="D39" s="1476"/>
      <c r="E39" s="1476"/>
      <c r="F39" s="1476"/>
      <c r="G39" s="1476"/>
      <c r="H39" s="1476"/>
      <c r="I39" s="1476"/>
      <c r="J39" s="1476"/>
      <c r="K39" s="1476"/>
      <c r="L39" s="1476"/>
      <c r="M39" s="712"/>
    </row>
    <row r="40" spans="1:13" s="302" customFormat="1" ht="77.099999999999994" customHeight="1" x14ac:dyDescent="0.25">
      <c r="A40" s="711"/>
      <c r="B40" s="716" t="s">
        <v>794</v>
      </c>
      <c r="C40" s="1476" t="s">
        <v>825</v>
      </c>
      <c r="D40" s="1476"/>
      <c r="E40" s="1476"/>
      <c r="F40" s="1476"/>
      <c r="G40" s="1476"/>
      <c r="H40" s="1476"/>
      <c r="I40" s="1476"/>
      <c r="J40" s="1476"/>
      <c r="K40" s="1476"/>
      <c r="L40" s="1476"/>
      <c r="M40" s="712"/>
    </row>
    <row r="41" spans="1:13" s="302" customFormat="1" ht="65.099999999999994" customHeight="1" x14ac:dyDescent="0.25">
      <c r="A41" s="711"/>
      <c r="B41" s="716" t="s">
        <v>794</v>
      </c>
      <c r="C41" s="1476" t="s">
        <v>826</v>
      </c>
      <c r="D41" s="1476"/>
      <c r="E41" s="1476"/>
      <c r="F41" s="1476"/>
      <c r="G41" s="1476"/>
      <c r="H41" s="1476"/>
      <c r="I41" s="1476"/>
      <c r="J41" s="1476"/>
      <c r="K41" s="1476"/>
      <c r="L41" s="1476"/>
      <c r="M41" s="712"/>
    </row>
    <row r="42" spans="1:13" s="302" customFormat="1" ht="50.1" customHeight="1" x14ac:dyDescent="0.25">
      <c r="A42" s="711"/>
      <c r="B42" s="716" t="s">
        <v>794</v>
      </c>
      <c r="C42" s="1476" t="s">
        <v>827</v>
      </c>
      <c r="D42" s="1476"/>
      <c r="E42" s="1476"/>
      <c r="F42" s="1476"/>
      <c r="G42" s="1476"/>
      <c r="H42" s="1476"/>
      <c r="I42" s="1476"/>
      <c r="J42" s="1476"/>
      <c r="K42" s="1476"/>
      <c r="L42" s="1476"/>
      <c r="M42" s="712"/>
    </row>
    <row r="43" spans="1:13" s="302" customFormat="1" ht="65.099999999999994" customHeight="1" x14ac:dyDescent="0.25">
      <c r="A43" s="711"/>
      <c r="B43" s="716" t="s">
        <v>794</v>
      </c>
      <c r="C43" s="1476" t="s">
        <v>1015</v>
      </c>
      <c r="D43" s="1476"/>
      <c r="E43" s="1476"/>
      <c r="F43" s="1476"/>
      <c r="G43" s="1476"/>
      <c r="H43" s="1476"/>
      <c r="I43" s="1476"/>
      <c r="J43" s="1476"/>
      <c r="K43" s="1476"/>
      <c r="L43" s="1476"/>
      <c r="M43" s="712"/>
    </row>
    <row r="44" spans="1:13" s="302" customFormat="1" ht="65.099999999999994" customHeight="1" x14ac:dyDescent="0.25">
      <c r="A44" s="711"/>
      <c r="B44" s="716" t="s">
        <v>794</v>
      </c>
      <c r="C44" s="1476" t="s">
        <v>828</v>
      </c>
      <c r="D44" s="1476"/>
      <c r="E44" s="1476"/>
      <c r="F44" s="1476"/>
      <c r="G44" s="1476"/>
      <c r="H44" s="1476"/>
      <c r="I44" s="1476"/>
      <c r="J44" s="1476"/>
      <c r="K44" s="1476"/>
      <c r="L44" s="1476"/>
      <c r="M44" s="712"/>
    </row>
    <row r="45" spans="1:13" s="302" customFormat="1" ht="114.9" customHeight="1" x14ac:dyDescent="0.25">
      <c r="A45" s="711"/>
      <c r="B45" s="716" t="s">
        <v>794</v>
      </c>
      <c r="C45" s="1476" t="s">
        <v>829</v>
      </c>
      <c r="D45" s="1476"/>
      <c r="E45" s="1476"/>
      <c r="F45" s="1476"/>
      <c r="G45" s="1476"/>
      <c r="H45" s="1476"/>
      <c r="I45" s="1476"/>
      <c r="J45" s="1476"/>
      <c r="K45" s="1476"/>
      <c r="L45" s="1476"/>
      <c r="M45" s="712"/>
    </row>
    <row r="46" spans="1:13" s="302" customFormat="1" ht="69.900000000000006" customHeight="1" x14ac:dyDescent="0.25">
      <c r="A46" s="711"/>
      <c r="B46" s="716" t="s">
        <v>794</v>
      </c>
      <c r="C46" s="1479" t="s">
        <v>830</v>
      </c>
      <c r="D46" s="1479"/>
      <c r="E46" s="1479"/>
      <c r="F46" s="1479"/>
      <c r="G46" s="1479"/>
      <c r="H46" s="1479"/>
      <c r="I46" s="1479"/>
      <c r="J46" s="1479"/>
      <c r="K46" s="1479"/>
      <c r="L46" s="1479"/>
      <c r="M46" s="712"/>
    </row>
    <row r="47" spans="1:13" s="302" customFormat="1" ht="39.9" customHeight="1" x14ac:dyDescent="0.25">
      <c r="A47" s="725"/>
      <c r="B47" s="1480" t="s">
        <v>831</v>
      </c>
      <c r="C47" s="1480"/>
      <c r="D47" s="1480"/>
      <c r="E47" s="1480"/>
      <c r="F47" s="1480"/>
      <c r="G47" s="1480"/>
      <c r="H47" s="1480"/>
      <c r="I47" s="1480"/>
      <c r="J47" s="1480"/>
      <c r="K47" s="1480"/>
      <c r="L47" s="1480"/>
      <c r="M47" s="712"/>
    </row>
    <row r="48" spans="1:13" s="302" customFormat="1" ht="12.75" customHeight="1" thickBot="1" x14ac:dyDescent="0.3">
      <c r="A48" s="726"/>
      <c r="B48" s="727"/>
      <c r="C48" s="1478"/>
      <c r="D48" s="1478"/>
      <c r="E48" s="1478"/>
      <c r="F48" s="1478"/>
      <c r="G48" s="1478"/>
      <c r="H48" s="1478"/>
      <c r="I48" s="1478"/>
      <c r="J48" s="1478"/>
      <c r="K48" s="1478"/>
      <c r="L48" s="1478"/>
      <c r="M48" s="728"/>
    </row>
    <row r="49" spans="1:13" s="302" customFormat="1" ht="13.8" thickTop="1" x14ac:dyDescent="0.25">
      <c r="A49" s="729"/>
      <c r="B49" s="729"/>
      <c r="M49" s="729"/>
    </row>
    <row r="50" spans="1:13" s="302" customFormat="1" ht="13.2" x14ac:dyDescent="0.25">
      <c r="A50" s="729"/>
      <c r="B50" s="729"/>
      <c r="C50" s="729"/>
      <c r="D50" s="729"/>
      <c r="E50" s="729"/>
      <c r="M50" s="729"/>
    </row>
    <row r="51" spans="1:13" s="248" customFormat="1" ht="24" customHeight="1" x14ac:dyDescent="0.25">
      <c r="A51" s="243"/>
      <c r="B51" s="243"/>
      <c r="C51" s="243"/>
      <c r="D51" s="243"/>
      <c r="E51" s="243"/>
      <c r="F51" s="243"/>
      <c r="G51" s="243"/>
      <c r="H51" s="243"/>
      <c r="I51" s="243"/>
      <c r="J51" s="243"/>
      <c r="L51" s="249"/>
    </row>
    <row r="52" spans="1:13" s="302" customFormat="1" ht="13.2" x14ac:dyDescent="0.25"/>
    <row r="53" spans="1:13" s="729" customFormat="1" ht="12.6" x14ac:dyDescent="0.25"/>
    <row r="54" spans="1:13" s="729" customFormat="1" ht="12.6" x14ac:dyDescent="0.25"/>
    <row r="55" spans="1:13" s="729" customFormat="1" ht="12.6" x14ac:dyDescent="0.25"/>
    <row r="56" spans="1:13" s="729" customFormat="1" ht="12.6" x14ac:dyDescent="0.25"/>
  </sheetData>
  <sheetProtection selectLockedCells="1" selectUnlockedCells="1"/>
  <mergeCells count="25">
    <mergeCell ref="C48:L48"/>
    <mergeCell ref="C42:L42"/>
    <mergeCell ref="C43:L43"/>
    <mergeCell ref="C44:L44"/>
    <mergeCell ref="C45:L45"/>
    <mergeCell ref="C46:L46"/>
    <mergeCell ref="B47:L47"/>
    <mergeCell ref="C41:L41"/>
    <mergeCell ref="B24:L24"/>
    <mergeCell ref="B26:L26"/>
    <mergeCell ref="C27:L27"/>
    <mergeCell ref="C28:L28"/>
    <mergeCell ref="C29:L29"/>
    <mergeCell ref="C30:L30"/>
    <mergeCell ref="C35:L35"/>
    <mergeCell ref="B37:L37"/>
    <mergeCell ref="C38:L38"/>
    <mergeCell ref="C39:L39"/>
    <mergeCell ref="C40:L40"/>
    <mergeCell ref="B22:L22"/>
    <mergeCell ref="A1:M1"/>
    <mergeCell ref="A2:M2"/>
    <mergeCell ref="A4:M4"/>
    <mergeCell ref="B6:L6"/>
    <mergeCell ref="B21:L21"/>
  </mergeCells>
  <printOptions horizontalCentered="1"/>
  <pageMargins left="0.5" right="0.5" top="0.5" bottom="0.25" header="0.5" footer="0.5"/>
  <pageSetup orientation="portrait" r:id="rId1"/>
  <headerFooter alignWithMargins="0"/>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J60"/>
  <sheetViews>
    <sheetView zoomScaleNormal="100" zoomScaleSheetLayoutView="110" workbookViewId="0">
      <selection activeCell="K39" sqref="K39"/>
    </sheetView>
  </sheetViews>
  <sheetFormatPr defaultColWidth="9.109375" defaultRowHeight="13.2" x14ac:dyDescent="0.25"/>
  <cols>
    <col min="1" max="1" width="9.6640625" style="677" customWidth="1"/>
    <col min="2" max="3" width="8.6640625" style="677" customWidth="1"/>
    <col min="4" max="4" width="12.6640625" style="677" customWidth="1"/>
    <col min="5" max="7" width="9.6640625" style="677" customWidth="1"/>
    <col min="8" max="8" width="10.44140625" style="677" customWidth="1"/>
    <col min="9" max="9" width="12.6640625" style="677" customWidth="1"/>
    <col min="10" max="10" width="9.109375" style="677"/>
    <col min="11" max="11" width="9.33203125" style="677" bestFit="1" customWidth="1"/>
    <col min="12" max="12" width="11.88671875" style="677" bestFit="1" customWidth="1"/>
    <col min="13" max="16384" width="9.109375" style="677"/>
  </cols>
  <sheetData>
    <row r="1" spans="1:9" s="306" customFormat="1" x14ac:dyDescent="0.25">
      <c r="A1" s="305" t="s">
        <v>588</v>
      </c>
      <c r="I1" s="534" t="str">
        <f>'Project Information'!D4</f>
        <v>Project Name</v>
      </c>
    </row>
    <row r="3" spans="1:9" x14ac:dyDescent="0.25">
      <c r="A3" s="730" t="s">
        <v>500</v>
      </c>
      <c r="C3" s="731" t="str">
        <f>'MH Underwriting'!E1</f>
        <v>Project Name</v>
      </c>
    </row>
    <row r="4" spans="1:9" x14ac:dyDescent="0.25">
      <c r="A4" s="730" t="s">
        <v>499</v>
      </c>
      <c r="C4" s="731">
        <f>'MH Underwriting'!E2</f>
        <v>0</v>
      </c>
    </row>
    <row r="6" spans="1:9" hidden="1" x14ac:dyDescent="0.25">
      <c r="A6" s="1481" t="s">
        <v>846</v>
      </c>
      <c r="B6" s="1481"/>
      <c r="C6" s="1481"/>
      <c r="D6" s="1481"/>
      <c r="E6" s="1481"/>
      <c r="F6" s="1481"/>
      <c r="G6" s="1481"/>
      <c r="H6" s="1481"/>
      <c r="I6" s="1481"/>
    </row>
    <row r="7" spans="1:9" hidden="1" x14ac:dyDescent="0.25"/>
    <row r="8" spans="1:9" hidden="1" x14ac:dyDescent="0.25">
      <c r="B8" s="745"/>
      <c r="E8" s="746" t="s">
        <v>847</v>
      </c>
    </row>
    <row r="9" spans="1:9" hidden="1" x14ac:dyDescent="0.25">
      <c r="B9" s="745"/>
      <c r="E9" s="746" t="s">
        <v>848</v>
      </c>
    </row>
    <row r="10" spans="1:9" hidden="1" x14ac:dyDescent="0.25">
      <c r="B10" s="745"/>
      <c r="E10" s="746" t="s">
        <v>849</v>
      </c>
    </row>
    <row r="11" spans="1:9" hidden="1" x14ac:dyDescent="0.25">
      <c r="B11" s="745"/>
      <c r="E11" s="746" t="s">
        <v>850</v>
      </c>
    </row>
    <row r="12" spans="1:9" hidden="1" x14ac:dyDescent="0.25">
      <c r="E12" s="746" t="s">
        <v>851</v>
      </c>
    </row>
    <row r="13" spans="1:9" hidden="1" x14ac:dyDescent="0.25">
      <c r="E13" s="746" t="s">
        <v>852</v>
      </c>
    </row>
    <row r="14" spans="1:9" hidden="1" x14ac:dyDescent="0.25"/>
    <row r="15" spans="1:9" hidden="1" x14ac:dyDescent="0.25">
      <c r="A15" s="731" t="s">
        <v>853</v>
      </c>
    </row>
    <row r="16" spans="1:9" hidden="1" x14ac:dyDescent="0.25"/>
    <row r="17" spans="1:9" hidden="1" x14ac:dyDescent="0.25">
      <c r="A17" s="733" t="s">
        <v>854</v>
      </c>
      <c r="I17" s="735">
        <f>'NPV-PV calculations'!E632</f>
        <v>0</v>
      </c>
    </row>
    <row r="18" spans="1:9" hidden="1" x14ac:dyDescent="0.25">
      <c r="A18" s="733" t="s">
        <v>855</v>
      </c>
      <c r="I18" s="735">
        <f>'NPV-PV calculations'!H24+'NPV-PV calculations'!K24</f>
        <v>0</v>
      </c>
    </row>
    <row r="19" spans="1:9" hidden="1" x14ac:dyDescent="0.25">
      <c r="A19" s="733" t="s">
        <v>856</v>
      </c>
      <c r="I19" s="735">
        <f>'NPV-PV calculations'!H632+'NPV-PV calculations'!K632</f>
        <v>0</v>
      </c>
    </row>
    <row r="20" spans="1:9" hidden="1" x14ac:dyDescent="0.25">
      <c r="A20" s="733" t="s">
        <v>541</v>
      </c>
      <c r="I20" s="747">
        <f>Sources!C15+Sources!C51</f>
        <v>0</v>
      </c>
    </row>
    <row r="21" spans="1:9" hidden="1" x14ac:dyDescent="0.25"/>
    <row r="22" spans="1:9" hidden="1" x14ac:dyDescent="0.25">
      <c r="A22" s="748" t="s">
        <v>278</v>
      </c>
      <c r="I22" s="734">
        <f>SUM(I15:I21)</f>
        <v>0</v>
      </c>
    </row>
    <row r="23" spans="1:9" hidden="1" x14ac:dyDescent="0.25">
      <c r="A23" s="748"/>
      <c r="I23" s="734"/>
    </row>
    <row r="24" spans="1:9" hidden="1" x14ac:dyDescent="0.25">
      <c r="A24" s="748" t="s">
        <v>771</v>
      </c>
      <c r="I24" s="749">
        <f>'TDC per Unit'!F39+'TDC per Unit'!F36</f>
        <v>0</v>
      </c>
    </row>
    <row r="25" spans="1:9" hidden="1" x14ac:dyDescent="0.25">
      <c r="A25" s="748"/>
      <c r="I25" s="749"/>
    </row>
    <row r="26" spans="1:9" hidden="1" x14ac:dyDescent="0.25">
      <c r="A26" s="748"/>
      <c r="C26" s="750" t="s">
        <v>857</v>
      </c>
      <c r="F26" s="751">
        <f>IF(I24=0,0,I22/I24)</f>
        <v>0</v>
      </c>
      <c r="I26" s="749"/>
    </row>
    <row r="27" spans="1:9" hidden="1" x14ac:dyDescent="0.25">
      <c r="A27" s="748"/>
      <c r="I27" s="749"/>
    </row>
    <row r="28" spans="1:9" hidden="1" x14ac:dyDescent="0.25">
      <c r="A28" s="748"/>
      <c r="E28" s="731" t="s">
        <v>300</v>
      </c>
      <c r="F28" s="752">
        <f>IF(I22&lt;100000,0,IF(F26&gt;0.03,IF(F26&gt;0.06,IF(F26&gt;0.09,IF(F26&gt;0.12,IF(F26&gt;0.15,6,5),4),3),2),1))</f>
        <v>0</v>
      </c>
      <c r="I28" s="734"/>
    </row>
    <row r="29" spans="1:9" hidden="1" x14ac:dyDescent="0.25"/>
    <row r="30" spans="1:9" hidden="1" x14ac:dyDescent="0.25">
      <c r="A30" s="753"/>
      <c r="B30" s="754"/>
      <c r="C30" s="754"/>
      <c r="D30" s="754"/>
      <c r="E30" s="754"/>
      <c r="F30" s="754"/>
      <c r="G30" s="754"/>
      <c r="H30" s="754"/>
      <c r="I30" s="754"/>
    </row>
    <row r="32" spans="1:9" ht="17.399999999999999" x14ac:dyDescent="0.3">
      <c r="A32" s="1482" t="s">
        <v>858</v>
      </c>
      <c r="B32" s="1482"/>
      <c r="C32" s="1482"/>
      <c r="D32" s="1482"/>
      <c r="E32" s="1482"/>
      <c r="F32" s="1482"/>
      <c r="G32" s="1482"/>
      <c r="H32" s="1482"/>
      <c r="I32" s="1482"/>
    </row>
    <row r="33" spans="1:9" x14ac:dyDescent="0.25">
      <c r="H33" s="755"/>
      <c r="I33" s="755"/>
    </row>
    <row r="34" spans="1:9" x14ac:dyDescent="0.25">
      <c r="B34" s="745"/>
      <c r="E34" s="746" t="s">
        <v>1794</v>
      </c>
      <c r="G34" s="756"/>
      <c r="H34" s="757">
        <f>SUM(G42:G44)</f>
        <v>60500</v>
      </c>
      <c r="I34" s="758">
        <f>H34*0.01</f>
        <v>605</v>
      </c>
    </row>
    <row r="35" spans="1:9" x14ac:dyDescent="0.25">
      <c r="B35" s="745"/>
      <c r="E35" s="746" t="s">
        <v>1795</v>
      </c>
      <c r="G35" s="756"/>
      <c r="H35" s="757">
        <f>H34</f>
        <v>60500</v>
      </c>
      <c r="I35" s="758">
        <f>H35*0.25</f>
        <v>15125</v>
      </c>
    </row>
    <row r="36" spans="1:9" x14ac:dyDescent="0.25">
      <c r="B36" s="745"/>
      <c r="E36" s="746" t="s">
        <v>1796</v>
      </c>
      <c r="G36" s="756"/>
      <c r="H36" s="757">
        <f>H35</f>
        <v>60500</v>
      </c>
      <c r="I36" s="759">
        <f>H36*0.5</f>
        <v>30250</v>
      </c>
    </row>
    <row r="37" spans="1:9" x14ac:dyDescent="0.25">
      <c r="B37" s="745"/>
      <c r="E37" s="746" t="s">
        <v>1797</v>
      </c>
      <c r="G37" s="756"/>
      <c r="H37" s="757">
        <f>H36</f>
        <v>60500</v>
      </c>
      <c r="I37" s="758">
        <f>H37*0.75</f>
        <v>45375</v>
      </c>
    </row>
    <row r="38" spans="1:9" x14ac:dyDescent="0.25">
      <c r="E38" s="746" t="s">
        <v>1798</v>
      </c>
      <c r="G38" s="756"/>
      <c r="H38" s="757">
        <f>H37</f>
        <v>60500</v>
      </c>
      <c r="I38" s="756"/>
    </row>
    <row r="39" spans="1:9" x14ac:dyDescent="0.25">
      <c r="G39" s="756"/>
      <c r="H39" s="756"/>
      <c r="I39" s="756"/>
    </row>
    <row r="40" spans="1:9" x14ac:dyDescent="0.25">
      <c r="A40" s="731" t="s">
        <v>834</v>
      </c>
      <c r="G40" s="756"/>
      <c r="H40" s="756"/>
      <c r="I40" s="756"/>
    </row>
    <row r="41" spans="1:9" x14ac:dyDescent="0.25">
      <c r="G41" s="743"/>
      <c r="H41" s="756"/>
      <c r="I41" s="756"/>
    </row>
    <row r="42" spans="1:9" x14ac:dyDescent="0.25">
      <c r="A42" s="733" t="s">
        <v>703</v>
      </c>
      <c r="D42" s="734">
        <v>7500</v>
      </c>
      <c r="G42" s="760">
        <f>IF($D$47=A42,D42,0)</f>
        <v>0</v>
      </c>
      <c r="H42" s="756"/>
      <c r="I42" s="756"/>
    </row>
    <row r="43" spans="1:9" x14ac:dyDescent="0.25">
      <c r="A43" s="733" t="s">
        <v>540</v>
      </c>
      <c r="D43" s="734">
        <v>60500</v>
      </c>
      <c r="G43" s="760">
        <f>IF($D$47=A43,D43,0)</f>
        <v>60500</v>
      </c>
      <c r="H43" s="756"/>
      <c r="I43" s="756"/>
    </row>
    <row r="44" spans="1:9" x14ac:dyDescent="0.25">
      <c r="A44" s="733" t="s">
        <v>836</v>
      </c>
      <c r="D44" s="734">
        <v>10500</v>
      </c>
      <c r="G44" s="760">
        <f>IF($D$47=A44,D44,0)</f>
        <v>0</v>
      </c>
      <c r="H44" s="756"/>
      <c r="I44" s="756"/>
    </row>
    <row r="47" spans="1:9" x14ac:dyDescent="0.25">
      <c r="A47" s="677" t="s">
        <v>859</v>
      </c>
      <c r="D47" s="761" t="str">
        <f>IF('TDC per Unit'!I15&gt;0, "Adaptive Reuse",IF('TDC per Unit'!I17&gt;0,"Acquisition/Rehab","New Construction"))</f>
        <v>Acquisition/Rehab</v>
      </c>
      <c r="F47" s="677" t="s">
        <v>860</v>
      </c>
      <c r="I47" s="762">
        <f>IF(D49=0,0,D48/D49)</f>
        <v>0</v>
      </c>
    </row>
    <row r="48" spans="1:9" x14ac:dyDescent="0.25">
      <c r="A48" s="677" t="s">
        <v>858</v>
      </c>
      <c r="D48" s="762">
        <f>'Tax Credit Calc'!D89+'Tax Credit Calc'!D90+'Tax Credit Calc'!D93</f>
        <v>0</v>
      </c>
    </row>
    <row r="49" spans="1:10" x14ac:dyDescent="0.25">
      <c r="A49" s="677" t="s">
        <v>840</v>
      </c>
      <c r="D49" s="741">
        <f>'TDC per Unit'!F40</f>
        <v>0</v>
      </c>
      <c r="F49" s="677" t="s">
        <v>861</v>
      </c>
      <c r="I49" s="763">
        <f>I47/SUM(G42:G44)</f>
        <v>0</v>
      </c>
    </row>
    <row r="51" spans="1:10" x14ac:dyDescent="0.25">
      <c r="E51" s="731" t="s">
        <v>300</v>
      </c>
      <c r="F51" s="752">
        <f>IF(D49=0,0,IF(I49&lt;=1%,5,IF(I49&lt;=20%,4,IF(I49&lt;=40%,3,IF(I49&lt;=60%,2,IF(I49&lt;=80%,1,0))))))</f>
        <v>0</v>
      </c>
    </row>
    <row r="55" spans="1:10" s="306" customFormat="1" ht="24" customHeight="1" x14ac:dyDescent="0.3">
      <c r="A55" s="1482" t="s">
        <v>1801</v>
      </c>
      <c r="B55" s="1482"/>
      <c r="C55" s="1482"/>
      <c r="D55" s="1482"/>
      <c r="E55" s="1482"/>
      <c r="F55" s="1482"/>
      <c r="G55" s="1482"/>
      <c r="H55" s="1482"/>
      <c r="I55" s="1482"/>
      <c r="J55" s="308"/>
    </row>
    <row r="57" spans="1:10" x14ac:dyDescent="0.25">
      <c r="B57" s="677" t="s">
        <v>302</v>
      </c>
      <c r="D57" s="1361">
        <f>'MH Underwriting'!AJ156</f>
        <v>0</v>
      </c>
      <c r="E57" s="1362">
        <f>'MH Underwriting'!AK156</f>
        <v>0</v>
      </c>
      <c r="F57" s="1361"/>
    </row>
    <row r="58" spans="1:10" x14ac:dyDescent="0.25">
      <c r="B58" s="677" t="s">
        <v>301</v>
      </c>
      <c r="D58" s="1361">
        <f>'MH Underwriting'!AJ157</f>
        <v>0</v>
      </c>
      <c r="E58" s="1362">
        <f>'MH Underwriting'!AK157</f>
        <v>0</v>
      </c>
      <c r="F58" s="1361">
        <f>'MH Underwriting'!AL157</f>
        <v>0</v>
      </c>
      <c r="G58" s="1361" t="str">
        <f>'MH Underwriting'!AM157</f>
        <v>Points</v>
      </c>
    </row>
    <row r="60" spans="1:10" x14ac:dyDescent="0.25">
      <c r="B60" s="677" t="s">
        <v>1802</v>
      </c>
      <c r="D60" s="1361">
        <f>'MH Underwriting'!AJ160</f>
        <v>0</v>
      </c>
    </row>
  </sheetData>
  <sheetProtection selectLockedCells="1" selectUnlockedCells="1"/>
  <mergeCells count="3">
    <mergeCell ref="A6:I6"/>
    <mergeCell ref="A32:I32"/>
    <mergeCell ref="A55:I55"/>
  </mergeCells>
  <pageMargins left="0.75" right="0.75" top="1" bottom="1" header="0.5" footer="0.5"/>
  <pageSetup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M68"/>
  <sheetViews>
    <sheetView showGridLines="0" zoomScale="110" zoomScaleNormal="110" zoomScaleSheetLayoutView="120" workbookViewId="0">
      <selection activeCell="E4" sqref="E4:M4"/>
    </sheetView>
  </sheetViews>
  <sheetFormatPr defaultColWidth="9.109375" defaultRowHeight="13.2" x14ac:dyDescent="0.25"/>
  <cols>
    <col min="1" max="2" width="4.6640625" style="306" customWidth="1"/>
    <col min="3" max="13" width="8.6640625" style="306" customWidth="1"/>
    <col min="14" max="14" width="2.6640625" style="306" customWidth="1"/>
    <col min="15" max="16384" width="9.109375" style="306"/>
  </cols>
  <sheetData>
    <row r="1" spans="1:13" x14ac:dyDescent="0.25">
      <c r="A1" s="305" t="s">
        <v>588</v>
      </c>
      <c r="M1" s="534" t="str">
        <f>'Project Information'!D4</f>
        <v>Project Name</v>
      </c>
    </row>
    <row r="3" spans="1:13" ht="13.8" thickBot="1" x14ac:dyDescent="0.3">
      <c r="A3" s="305" t="s">
        <v>181</v>
      </c>
    </row>
    <row r="4" spans="1:13" ht="27.9" customHeight="1" thickBot="1" x14ac:dyDescent="0.3">
      <c r="A4" s="307"/>
      <c r="B4" s="371" t="s">
        <v>182</v>
      </c>
      <c r="C4" s="307"/>
      <c r="D4" s="307"/>
      <c r="E4" s="1511" t="s">
        <v>1792</v>
      </c>
      <c r="F4" s="1512"/>
      <c r="G4" s="1512"/>
      <c r="H4" s="1512"/>
      <c r="I4" s="1512"/>
      <c r="J4" s="1512"/>
      <c r="K4" s="1512"/>
      <c r="L4" s="1512"/>
      <c r="M4" s="1513"/>
    </row>
    <row r="5" spans="1:13" ht="6" customHeight="1" thickBot="1" x14ac:dyDescent="0.3">
      <c r="A5" s="307"/>
      <c r="B5" s="307"/>
      <c r="C5" s="307"/>
      <c r="D5" s="307"/>
      <c r="E5" s="307"/>
      <c r="F5" s="307"/>
      <c r="G5" s="307"/>
      <c r="H5" s="307"/>
      <c r="I5" s="307"/>
      <c r="J5" s="307"/>
      <c r="K5" s="307"/>
    </row>
    <row r="6" spans="1:13" ht="20.100000000000001" customHeight="1" thickBot="1" x14ac:dyDescent="0.3">
      <c r="A6" s="307"/>
      <c r="B6" s="307" t="s">
        <v>183</v>
      </c>
      <c r="C6" s="307"/>
      <c r="D6" s="307"/>
      <c r="E6" s="307"/>
      <c r="F6" s="307"/>
      <c r="G6" s="1514"/>
      <c r="H6" s="1515"/>
      <c r="I6" s="1516"/>
      <c r="J6" s="307"/>
      <c r="K6" s="307"/>
    </row>
    <row r="7" spans="1:13" ht="6" customHeight="1" thickBot="1" x14ac:dyDescent="0.3">
      <c r="A7" s="307"/>
      <c r="B7" s="307"/>
      <c r="C7" s="307"/>
      <c r="D7" s="307"/>
      <c r="E7" s="307"/>
      <c r="F7" s="307"/>
      <c r="G7" s="307"/>
      <c r="H7" s="307"/>
      <c r="I7" s="307"/>
      <c r="J7" s="307"/>
      <c r="K7" s="307"/>
    </row>
    <row r="8" spans="1:13" ht="27.9" customHeight="1" thickBot="1" x14ac:dyDescent="0.3">
      <c r="A8" s="307"/>
      <c r="B8" s="371" t="s">
        <v>184</v>
      </c>
      <c r="C8" s="307"/>
      <c r="D8" s="307"/>
      <c r="E8" s="1507"/>
      <c r="F8" s="1517"/>
      <c r="G8" s="1517"/>
      <c r="H8" s="1517"/>
      <c r="I8" s="1517"/>
      <c r="J8" s="1517"/>
      <c r="K8" s="1517"/>
      <c r="L8" s="1517"/>
      <c r="M8" s="1518"/>
    </row>
    <row r="9" spans="1:13" ht="6" customHeight="1" thickBot="1" x14ac:dyDescent="0.3">
      <c r="A9" s="307"/>
      <c r="B9" s="307"/>
      <c r="C9" s="307"/>
      <c r="D9" s="307"/>
      <c r="E9" s="307"/>
      <c r="F9" s="307"/>
      <c r="G9" s="307"/>
      <c r="H9" s="307"/>
      <c r="I9" s="307"/>
      <c r="J9" s="307"/>
      <c r="K9" s="307"/>
    </row>
    <row r="10" spans="1:13" ht="27.9" customHeight="1" thickBot="1" x14ac:dyDescent="0.3">
      <c r="A10" s="307"/>
      <c r="B10" s="311" t="s">
        <v>185</v>
      </c>
      <c r="C10" s="307"/>
      <c r="D10" s="307"/>
      <c r="E10" s="1519"/>
      <c r="F10" s="1520"/>
      <c r="G10" s="1520"/>
      <c r="H10" s="1520"/>
      <c r="I10" s="1520"/>
      <c r="J10" s="1520"/>
      <c r="K10" s="1520"/>
      <c r="L10" s="1520"/>
      <c r="M10" s="1521"/>
    </row>
    <row r="11" spans="1:13" ht="6" customHeight="1" thickBot="1" x14ac:dyDescent="0.3">
      <c r="A11" s="307"/>
      <c r="B11" s="307"/>
      <c r="C11" s="307"/>
      <c r="D11" s="307"/>
      <c r="E11" s="307"/>
      <c r="F11" s="307"/>
      <c r="G11" s="307"/>
      <c r="H11" s="307"/>
      <c r="I11" s="307"/>
      <c r="J11" s="307"/>
      <c r="K11" s="307"/>
    </row>
    <row r="12" spans="1:13" ht="27.9" customHeight="1" thickBot="1" x14ac:dyDescent="0.3">
      <c r="A12" s="307"/>
      <c r="B12" s="307"/>
      <c r="C12" s="307"/>
      <c r="D12" s="307"/>
      <c r="E12" s="1522"/>
      <c r="F12" s="1520"/>
      <c r="G12" s="1520"/>
      <c r="H12" s="1520"/>
      <c r="I12" s="1520"/>
      <c r="J12" s="1520"/>
      <c r="K12" s="1520"/>
      <c r="L12" s="1520"/>
      <c r="M12" s="1521"/>
    </row>
    <row r="13" spans="1:13" ht="6" customHeight="1" thickBot="1" x14ac:dyDescent="0.3">
      <c r="A13" s="307"/>
      <c r="B13" s="307"/>
      <c r="C13" s="307"/>
      <c r="D13" s="307"/>
      <c r="E13" s="307"/>
      <c r="F13" s="307"/>
      <c r="G13" s="307"/>
      <c r="H13" s="307"/>
      <c r="I13" s="307"/>
      <c r="J13" s="307"/>
      <c r="K13" s="307"/>
    </row>
    <row r="14" spans="1:13" ht="20.100000000000001" customHeight="1" thickBot="1" x14ac:dyDescent="0.3">
      <c r="A14" s="307"/>
      <c r="B14" s="307" t="s">
        <v>186</v>
      </c>
      <c r="C14" s="307"/>
      <c r="D14" s="307"/>
      <c r="E14" s="1527"/>
      <c r="F14" s="1528"/>
      <c r="G14" s="1529"/>
      <c r="H14" s="309"/>
      <c r="J14" s="308" t="s">
        <v>187</v>
      </c>
      <c r="K14" s="1527"/>
      <c r="L14" s="1528"/>
      <c r="M14" s="1529"/>
    </row>
    <row r="15" spans="1:13" ht="6" customHeight="1" thickBot="1" x14ac:dyDescent="0.3">
      <c r="A15" s="307"/>
      <c r="B15" s="307"/>
      <c r="C15" s="307"/>
      <c r="D15" s="307"/>
      <c r="E15" s="307"/>
      <c r="F15" s="307"/>
      <c r="I15" s="308"/>
      <c r="J15" s="307"/>
      <c r="K15" s="307"/>
      <c r="L15" s="307"/>
    </row>
    <row r="16" spans="1:13" ht="19.5" customHeight="1" thickBot="1" x14ac:dyDescent="0.3">
      <c r="A16" s="307"/>
      <c r="B16" s="307" t="s">
        <v>172</v>
      </c>
      <c r="C16" s="307"/>
      <c r="D16" s="307"/>
      <c r="E16" s="1530"/>
      <c r="F16" s="1531"/>
      <c r="G16" s="1517"/>
      <c r="H16" s="1518"/>
      <c r="I16" s="308"/>
    </row>
    <row r="17" spans="1:13" ht="12.75" customHeight="1" x14ac:dyDescent="0.25">
      <c r="A17" s="307"/>
      <c r="B17" s="307"/>
      <c r="C17" s="307"/>
      <c r="D17" s="307"/>
      <c r="E17" s="307"/>
      <c r="F17" s="307"/>
      <c r="I17" s="308"/>
      <c r="J17" s="307"/>
      <c r="K17" s="307"/>
      <c r="L17" s="307"/>
    </row>
    <row r="18" spans="1:13" ht="12.75" customHeight="1" thickBot="1" x14ac:dyDescent="0.3">
      <c r="A18" s="307"/>
      <c r="B18" s="307"/>
      <c r="C18" s="307"/>
      <c r="D18" s="307"/>
      <c r="E18" s="306" t="s">
        <v>767</v>
      </c>
      <c r="F18" s="307"/>
      <c r="I18" s="308"/>
      <c r="J18" s="307"/>
      <c r="K18" s="307"/>
      <c r="L18" s="307"/>
    </row>
    <row r="19" spans="1:13" ht="12.75" hidden="1" customHeight="1" x14ac:dyDescent="0.25">
      <c r="A19" s="307"/>
      <c r="B19" s="307"/>
      <c r="C19" s="307"/>
      <c r="D19" s="307"/>
      <c r="E19" s="307" t="s">
        <v>761</v>
      </c>
      <c r="F19" s="307"/>
      <c r="I19" s="308"/>
      <c r="J19" s="307"/>
      <c r="K19" s="307"/>
      <c r="L19" s="307"/>
    </row>
    <row r="20" spans="1:13" ht="12.75" hidden="1" customHeight="1" x14ac:dyDescent="0.25">
      <c r="A20" s="307"/>
      <c r="B20" s="307"/>
      <c r="C20" s="307"/>
      <c r="D20" s="307"/>
      <c r="E20" s="307" t="s">
        <v>762</v>
      </c>
      <c r="F20" s="307"/>
      <c r="I20" s="308"/>
      <c r="J20" s="307"/>
      <c r="K20" s="307"/>
      <c r="L20" s="307"/>
    </row>
    <row r="21" spans="1:13" ht="12.75" hidden="1" customHeight="1" x14ac:dyDescent="0.25">
      <c r="A21" s="307"/>
      <c r="B21" s="307"/>
      <c r="C21" s="307"/>
      <c r="D21" s="307"/>
      <c r="E21" s="307" t="s">
        <v>763</v>
      </c>
      <c r="F21" s="307"/>
      <c r="I21" s="308"/>
      <c r="J21" s="307"/>
      <c r="K21" s="307"/>
      <c r="L21" s="307"/>
    </row>
    <row r="22" spans="1:13" ht="12.75" hidden="1" customHeight="1" x14ac:dyDescent="0.25">
      <c r="A22" s="307"/>
      <c r="B22" s="307"/>
      <c r="C22" s="307"/>
      <c r="D22" s="307"/>
      <c r="E22" s="307" t="s">
        <v>759</v>
      </c>
      <c r="F22" s="307"/>
      <c r="I22" s="308"/>
      <c r="J22" s="307"/>
      <c r="K22" s="307"/>
      <c r="L22" s="307"/>
    </row>
    <row r="23" spans="1:13" ht="12.75" hidden="1" customHeight="1" x14ac:dyDescent="0.25">
      <c r="A23" s="307"/>
      <c r="B23" s="307"/>
      <c r="C23" s="307"/>
      <c r="D23" s="307"/>
      <c r="E23" s="307" t="s">
        <v>760</v>
      </c>
      <c r="F23" s="307"/>
      <c r="I23" s="308"/>
      <c r="J23" s="307" t="s">
        <v>766</v>
      </c>
      <c r="K23" s="307"/>
      <c r="L23" s="307"/>
    </row>
    <row r="24" spans="1:13" ht="12.75" hidden="1" customHeight="1" x14ac:dyDescent="0.25">
      <c r="A24" s="307"/>
      <c r="B24" s="307"/>
      <c r="C24" s="307"/>
      <c r="D24" s="307"/>
      <c r="E24" s="307" t="s">
        <v>738</v>
      </c>
      <c r="F24" s="307"/>
      <c r="I24" s="308"/>
      <c r="J24" s="307" t="s">
        <v>764</v>
      </c>
      <c r="K24" s="307"/>
      <c r="L24" s="307"/>
    </row>
    <row r="25" spans="1:13" ht="12.75" hidden="1" customHeight="1" thickBot="1" x14ac:dyDescent="0.3">
      <c r="A25" s="307"/>
      <c r="B25" s="307"/>
      <c r="C25" s="307"/>
      <c r="D25" s="307"/>
      <c r="E25" s="307" t="s">
        <v>758</v>
      </c>
      <c r="F25" s="307"/>
      <c r="I25" s="308"/>
      <c r="J25" s="307" t="s">
        <v>765</v>
      </c>
      <c r="K25" s="307"/>
      <c r="L25" s="307"/>
    </row>
    <row r="26" spans="1:13" ht="20.100000000000001" customHeight="1" thickBot="1" x14ac:dyDescent="0.3">
      <c r="A26" s="307"/>
      <c r="B26" s="307" t="s">
        <v>188</v>
      </c>
      <c r="C26" s="307"/>
      <c r="D26" s="307"/>
      <c r="E26" s="1523" t="s">
        <v>761</v>
      </c>
      <c r="F26" s="1524"/>
      <c r="G26" s="1525"/>
      <c r="H26" s="1526"/>
      <c r="I26" s="307"/>
      <c r="J26" s="1523" t="s">
        <v>766</v>
      </c>
      <c r="K26" s="1525"/>
      <c r="L26" s="1526"/>
    </row>
    <row r="27" spans="1:13" x14ac:dyDescent="0.25">
      <c r="A27" s="307"/>
      <c r="B27" s="307"/>
      <c r="C27" s="307"/>
      <c r="D27" s="307"/>
      <c r="F27" s="307"/>
      <c r="G27" s="307"/>
      <c r="H27" s="307"/>
      <c r="I27" s="307"/>
      <c r="J27" s="307"/>
      <c r="K27" s="307"/>
    </row>
    <row r="28" spans="1:13" ht="12.75" customHeight="1" x14ac:dyDescent="0.25">
      <c r="A28" s="307"/>
      <c r="C28" s="308"/>
      <c r="D28" s="307"/>
      <c r="F28" s="307"/>
      <c r="G28" s="307"/>
      <c r="H28" s="307"/>
      <c r="I28" s="307"/>
      <c r="J28" s="307"/>
      <c r="K28" s="307"/>
      <c r="L28" s="307"/>
    </row>
    <row r="29" spans="1:13" x14ac:dyDescent="0.25">
      <c r="A29" s="307"/>
      <c r="C29" s="308"/>
      <c r="D29" s="307"/>
      <c r="F29" s="307"/>
      <c r="G29" s="307"/>
      <c r="H29" s="307"/>
      <c r="I29" s="307"/>
      <c r="J29" s="307"/>
      <c r="K29" s="307"/>
      <c r="L29" s="307"/>
    </row>
    <row r="30" spans="1:13" ht="20.100000000000001" customHeight="1" x14ac:dyDescent="0.25">
      <c r="A30" s="307"/>
      <c r="B30" s="310" t="s">
        <v>621</v>
      </c>
      <c r="C30" s="307"/>
      <c r="D30" s="307"/>
      <c r="E30" s="307"/>
      <c r="F30" s="307"/>
      <c r="G30" s="317" t="s">
        <v>660</v>
      </c>
      <c r="H30" s="307"/>
      <c r="I30" s="307"/>
      <c r="J30" s="307"/>
      <c r="K30" s="307"/>
    </row>
    <row r="31" spans="1:13" ht="15" customHeight="1" thickBot="1" x14ac:dyDescent="0.3">
      <c r="A31" s="311"/>
      <c r="B31" s="312" t="s">
        <v>659</v>
      </c>
      <c r="C31" s="313"/>
      <c r="D31" s="314"/>
      <c r="E31" s="312" t="s">
        <v>189</v>
      </c>
      <c r="F31" s="313"/>
      <c r="G31" s="315" t="s">
        <v>190</v>
      </c>
      <c r="H31" s="313" t="s">
        <v>191</v>
      </c>
      <c r="I31" s="313"/>
      <c r="J31" s="313"/>
      <c r="K31" s="313"/>
      <c r="L31" s="314"/>
      <c r="M31" s="316"/>
    </row>
    <row r="32" spans="1:13" ht="27" customHeight="1" thickBot="1" x14ac:dyDescent="0.3">
      <c r="A32" s="307"/>
      <c r="B32" s="1507"/>
      <c r="C32" s="1508"/>
      <c r="D32" s="1509"/>
      <c r="E32" s="1491"/>
      <c r="F32" s="1510"/>
      <c r="G32" s="368"/>
      <c r="H32" s="1507"/>
      <c r="I32" s="1508"/>
      <c r="J32" s="1508"/>
      <c r="K32" s="1508"/>
      <c r="L32" s="1508"/>
      <c r="M32" s="1509"/>
    </row>
    <row r="33" spans="1:13" ht="27" customHeight="1" thickBot="1" x14ac:dyDescent="0.3">
      <c r="A33" s="307"/>
      <c r="B33" s="1507"/>
      <c r="C33" s="1508"/>
      <c r="D33" s="1509"/>
      <c r="E33" s="1491"/>
      <c r="F33" s="1510"/>
      <c r="G33" s="368"/>
      <c r="H33" s="1507"/>
      <c r="I33" s="1508"/>
      <c r="J33" s="1508"/>
      <c r="K33" s="1508"/>
      <c r="L33" s="1508"/>
      <c r="M33" s="1509"/>
    </row>
    <row r="34" spans="1:13" ht="27" customHeight="1" thickBot="1" x14ac:dyDescent="0.3">
      <c r="A34" s="307"/>
      <c r="B34" s="1507"/>
      <c r="C34" s="1508"/>
      <c r="D34" s="1509"/>
      <c r="E34" s="1491"/>
      <c r="F34" s="1510"/>
      <c r="G34" s="368"/>
      <c r="H34" s="1507"/>
      <c r="I34" s="1508"/>
      <c r="J34" s="1508"/>
      <c r="K34" s="1508"/>
      <c r="L34" s="1508"/>
      <c r="M34" s="1509"/>
    </row>
    <row r="35" spans="1:13" ht="27" customHeight="1" thickBot="1" x14ac:dyDescent="0.3">
      <c r="A35" s="307"/>
      <c r="B35" s="1507"/>
      <c r="C35" s="1508"/>
      <c r="D35" s="1509"/>
      <c r="E35" s="1491"/>
      <c r="F35" s="1510"/>
      <c r="G35" s="368"/>
      <c r="H35" s="1507"/>
      <c r="I35" s="1508"/>
      <c r="J35" s="1508"/>
      <c r="K35" s="1508"/>
      <c r="L35" s="1508"/>
      <c r="M35" s="1509"/>
    </row>
    <row r="36" spans="1:13" ht="20.100000000000001" customHeight="1" x14ac:dyDescent="0.25">
      <c r="A36" s="307"/>
      <c r="B36" s="307" t="s">
        <v>192</v>
      </c>
      <c r="C36" s="307"/>
      <c r="E36" s="307" t="s">
        <v>193</v>
      </c>
      <c r="F36" s="307"/>
      <c r="G36" s="307"/>
      <c r="H36" s="307"/>
      <c r="I36" s="307"/>
      <c r="J36" s="307"/>
      <c r="K36" s="307"/>
    </row>
    <row r="37" spans="1:13" ht="9.9" customHeight="1" x14ac:dyDescent="0.25">
      <c r="A37" s="307"/>
      <c r="B37" s="307"/>
      <c r="C37" s="307"/>
      <c r="E37" s="307" t="s">
        <v>194</v>
      </c>
      <c r="F37" s="307"/>
      <c r="G37" s="307"/>
      <c r="H37" s="307"/>
      <c r="I37" s="307"/>
      <c r="J37" s="307"/>
      <c r="K37" s="307"/>
    </row>
    <row r="38" spans="1:13" ht="9.9" customHeight="1" thickBot="1" x14ac:dyDescent="0.3">
      <c r="A38" s="307"/>
      <c r="B38" s="307"/>
      <c r="C38" s="307"/>
      <c r="E38" s="307" t="s">
        <v>195</v>
      </c>
      <c r="F38" s="307"/>
      <c r="G38" s="307"/>
      <c r="H38" s="307"/>
      <c r="I38" s="307"/>
      <c r="J38" s="307"/>
      <c r="K38" s="307"/>
    </row>
    <row r="39" spans="1:13" ht="20.100000000000001" customHeight="1" x14ac:dyDescent="0.25">
      <c r="A39" s="307"/>
      <c r="B39" s="307"/>
      <c r="C39" s="307"/>
      <c r="D39" s="1497"/>
      <c r="E39" s="1498"/>
      <c r="F39" s="1498"/>
      <c r="G39" s="1498"/>
      <c r="H39" s="1498"/>
      <c r="I39" s="1498"/>
      <c r="J39" s="1498"/>
      <c r="K39" s="1498"/>
      <c r="L39" s="1498"/>
      <c r="M39" s="1499"/>
    </row>
    <row r="40" spans="1:13" ht="6" customHeight="1" x14ac:dyDescent="0.25">
      <c r="A40" s="307"/>
      <c r="B40" s="307"/>
      <c r="C40" s="307"/>
      <c r="D40" s="1500"/>
      <c r="E40" s="1501"/>
      <c r="F40" s="1501"/>
      <c r="G40" s="1501"/>
      <c r="H40" s="1501"/>
      <c r="I40" s="1501"/>
      <c r="J40" s="1501"/>
      <c r="K40" s="1501"/>
      <c r="L40" s="1501"/>
      <c r="M40" s="1502"/>
    </row>
    <row r="41" spans="1:13" ht="20.100000000000001" customHeight="1" x14ac:dyDescent="0.25">
      <c r="A41" s="307"/>
      <c r="B41" s="307"/>
      <c r="C41" s="307"/>
      <c r="D41" s="1500"/>
      <c r="E41" s="1501"/>
      <c r="F41" s="1501"/>
      <c r="G41" s="1501"/>
      <c r="H41" s="1501"/>
      <c r="I41" s="1501"/>
      <c r="J41" s="1501"/>
      <c r="K41" s="1501"/>
      <c r="L41" s="1501"/>
      <c r="M41" s="1502"/>
    </row>
    <row r="42" spans="1:13" ht="6" customHeight="1" x14ac:dyDescent="0.25">
      <c r="A42" s="307"/>
      <c r="B42" s="307"/>
      <c r="C42" s="307"/>
      <c r="D42" s="1500"/>
      <c r="E42" s="1501"/>
      <c r="F42" s="1501"/>
      <c r="G42" s="1501"/>
      <c r="H42" s="1501"/>
      <c r="I42" s="1501"/>
      <c r="J42" s="1501"/>
      <c r="K42" s="1501"/>
      <c r="L42" s="1501"/>
      <c r="M42" s="1502"/>
    </row>
    <row r="43" spans="1:13" ht="20.100000000000001" customHeight="1" thickBot="1" x14ac:dyDescent="0.3">
      <c r="A43" s="307"/>
      <c r="B43" s="307"/>
      <c r="C43" s="307"/>
      <c r="D43" s="1503"/>
      <c r="E43" s="1504"/>
      <c r="F43" s="1504"/>
      <c r="G43" s="1504"/>
      <c r="H43" s="1504"/>
      <c r="I43" s="1504"/>
      <c r="J43" s="1504"/>
      <c r="K43" s="1504"/>
      <c r="L43" s="1504"/>
      <c r="M43" s="1505"/>
    </row>
    <row r="44" spans="1:13" ht="20.100000000000001" customHeight="1" x14ac:dyDescent="0.25">
      <c r="A44" s="307"/>
      <c r="B44" s="307" t="s">
        <v>196</v>
      </c>
      <c r="C44" s="307"/>
      <c r="D44" s="307"/>
      <c r="E44" s="307"/>
      <c r="F44" s="307"/>
      <c r="G44" s="307"/>
      <c r="H44" s="307"/>
      <c r="I44" s="307"/>
      <c r="J44" s="307"/>
      <c r="K44" s="307"/>
    </row>
    <row r="45" spans="1:13" x14ac:dyDescent="0.25">
      <c r="A45" s="307"/>
      <c r="B45" s="307"/>
      <c r="C45" s="307"/>
      <c r="D45" s="307"/>
      <c r="E45" s="1489" t="s">
        <v>1690</v>
      </c>
      <c r="F45" s="1489"/>
      <c r="G45" s="1489" t="s">
        <v>1691</v>
      </c>
      <c r="H45" s="1489"/>
      <c r="I45" s="1489" t="s">
        <v>214</v>
      </c>
      <c r="J45" s="1489"/>
      <c r="K45" s="1489"/>
      <c r="L45" s="1489" t="s">
        <v>198</v>
      </c>
      <c r="M45" s="1489"/>
    </row>
    <row r="46" spans="1:13" ht="6" customHeight="1" thickBot="1" x14ac:dyDescent="0.3">
      <c r="A46" s="307"/>
      <c r="B46" s="307"/>
      <c r="C46" s="307"/>
      <c r="D46" s="307"/>
      <c r="F46" s="317"/>
      <c r="G46" s="318"/>
      <c r="H46" s="319"/>
      <c r="I46" s="317"/>
      <c r="J46" s="318"/>
      <c r="K46" s="318"/>
      <c r="L46" s="318"/>
      <c r="M46" s="318"/>
    </row>
    <row r="47" spans="1:13" ht="34.5" customHeight="1" thickBot="1" x14ac:dyDescent="0.3">
      <c r="A47" s="307"/>
      <c r="B47" s="371" t="s">
        <v>219</v>
      </c>
      <c r="C47" s="371"/>
      <c r="D47" s="307"/>
      <c r="E47" s="1491"/>
      <c r="F47" s="1492"/>
      <c r="G47" s="1491"/>
      <c r="H47" s="1492"/>
      <c r="I47" s="1486"/>
      <c r="J47" s="1487"/>
      <c r="K47" s="1488"/>
      <c r="L47" s="1493"/>
      <c r="M47" s="1494"/>
    </row>
    <row r="48" spans="1:13" ht="5.25" customHeight="1" thickBot="1" x14ac:dyDescent="0.3">
      <c r="A48" s="307"/>
      <c r="B48" s="371"/>
      <c r="C48" s="371"/>
      <c r="D48" s="307"/>
      <c r="E48" s="1506"/>
      <c r="F48" s="1506"/>
      <c r="G48" s="1495"/>
      <c r="H48" s="1495"/>
      <c r="I48" s="1354"/>
      <c r="J48" s="1354"/>
      <c r="K48" s="1354"/>
      <c r="L48" s="1264"/>
      <c r="M48" s="1264"/>
    </row>
    <row r="49" spans="1:13" ht="34.5" customHeight="1" thickBot="1" x14ac:dyDescent="0.3">
      <c r="A49" s="307"/>
      <c r="B49" s="371" t="s">
        <v>199</v>
      </c>
      <c r="C49" s="371"/>
      <c r="D49" s="307"/>
      <c r="E49" s="1491"/>
      <c r="F49" s="1492"/>
      <c r="G49" s="1491"/>
      <c r="H49" s="1492"/>
      <c r="I49" s="1486"/>
      <c r="J49" s="1487"/>
      <c r="K49" s="1488"/>
      <c r="L49" s="1493"/>
      <c r="M49" s="1494"/>
    </row>
    <row r="50" spans="1:13" ht="6" customHeight="1" thickBot="1" x14ac:dyDescent="0.3">
      <c r="A50" s="307"/>
      <c r="B50" s="371"/>
      <c r="C50" s="371"/>
      <c r="D50" s="307"/>
      <c r="E50" s="1496"/>
      <c r="F50" s="1496"/>
      <c r="G50" s="1490"/>
      <c r="H50" s="1490"/>
      <c r="I50" s="1355"/>
      <c r="J50" s="1355"/>
      <c r="K50" s="1355"/>
      <c r="L50" s="1265"/>
      <c r="M50" s="1265"/>
    </row>
    <row r="51" spans="1:13" ht="34.5" customHeight="1" thickBot="1" x14ac:dyDescent="0.3">
      <c r="A51" s="307"/>
      <c r="B51" s="371" t="s">
        <v>200</v>
      </c>
      <c r="C51" s="371"/>
      <c r="D51" s="307"/>
      <c r="E51" s="1491"/>
      <c r="F51" s="1492"/>
      <c r="G51" s="1491"/>
      <c r="H51" s="1492"/>
      <c r="I51" s="1486"/>
      <c r="J51" s="1487"/>
      <c r="K51" s="1488"/>
      <c r="L51" s="1493"/>
      <c r="M51" s="1494"/>
    </row>
    <row r="52" spans="1:13" ht="6" customHeight="1" thickBot="1" x14ac:dyDescent="0.3">
      <c r="A52" s="307"/>
      <c r="B52" s="371"/>
      <c r="C52" s="371"/>
      <c r="D52" s="307"/>
      <c r="E52" s="1496"/>
      <c r="F52" s="1496"/>
      <c r="G52" s="1490"/>
      <c r="H52" s="1490"/>
      <c r="I52" s="1355"/>
      <c r="J52" s="1355"/>
      <c r="K52" s="1355"/>
      <c r="L52" s="1265"/>
      <c r="M52" s="1265"/>
    </row>
    <row r="53" spans="1:13" ht="34.5" customHeight="1" thickBot="1" x14ac:dyDescent="0.3">
      <c r="A53" s="307"/>
      <c r="B53" s="371" t="s">
        <v>201</v>
      </c>
      <c r="C53" s="371"/>
      <c r="D53" s="307"/>
      <c r="E53" s="1491"/>
      <c r="F53" s="1492"/>
      <c r="G53" s="1491"/>
      <c r="H53" s="1492"/>
      <c r="I53" s="1483"/>
      <c r="J53" s="1484"/>
      <c r="K53" s="1485"/>
      <c r="L53" s="1493"/>
      <c r="M53" s="1494"/>
    </row>
    <row r="54" spans="1:13" ht="6" customHeight="1" thickBot="1" x14ac:dyDescent="0.3">
      <c r="A54" s="307"/>
      <c r="B54" s="371"/>
      <c r="C54" s="371"/>
      <c r="D54" s="307"/>
      <c r="E54" s="1496"/>
      <c r="F54" s="1496"/>
      <c r="G54" s="1490"/>
      <c r="H54" s="1490"/>
      <c r="I54" s="1355"/>
      <c r="J54" s="1355"/>
      <c r="K54" s="1355"/>
      <c r="L54" s="1265"/>
      <c r="M54" s="1265"/>
    </row>
    <row r="55" spans="1:13" ht="34.5" customHeight="1" thickBot="1" x14ac:dyDescent="0.3">
      <c r="A55" s="307"/>
      <c r="B55" s="371" t="s">
        <v>202</v>
      </c>
      <c r="C55" s="371"/>
      <c r="D55" s="307"/>
      <c r="E55" s="1491"/>
      <c r="F55" s="1492"/>
      <c r="G55" s="1491"/>
      <c r="H55" s="1492"/>
      <c r="I55" s="1483"/>
      <c r="J55" s="1484"/>
      <c r="K55" s="1485"/>
      <c r="L55" s="1493"/>
      <c r="M55" s="1494"/>
    </row>
    <row r="56" spans="1:13" ht="6" customHeight="1" thickBot="1" x14ac:dyDescent="0.3">
      <c r="A56" s="307"/>
      <c r="B56" s="371"/>
      <c r="C56" s="371"/>
      <c r="D56" s="307"/>
      <c r="E56" s="1496"/>
      <c r="F56" s="1496"/>
      <c r="G56" s="1490"/>
      <c r="H56" s="1490"/>
      <c r="I56" s="1355"/>
      <c r="J56" s="1355"/>
      <c r="K56" s="1355"/>
      <c r="L56" s="1265"/>
      <c r="M56" s="1265"/>
    </row>
    <row r="57" spans="1:13" ht="34.5" customHeight="1" thickBot="1" x14ac:dyDescent="0.3">
      <c r="A57" s="307"/>
      <c r="B57" s="371" t="s">
        <v>203</v>
      </c>
      <c r="C57" s="371"/>
      <c r="D57" s="307"/>
      <c r="E57" s="1491"/>
      <c r="F57" s="1492"/>
      <c r="G57" s="1491"/>
      <c r="H57" s="1492"/>
      <c r="I57" s="1486"/>
      <c r="J57" s="1487"/>
      <c r="K57" s="1488"/>
      <c r="L57" s="1493"/>
      <c r="M57" s="1494"/>
    </row>
    <row r="58" spans="1:13" ht="6" customHeight="1" thickBot="1" x14ac:dyDescent="0.3">
      <c r="A58" s="307"/>
      <c r="B58" s="371"/>
      <c r="C58" s="371"/>
      <c r="D58" s="307"/>
      <c r="E58" s="1496"/>
      <c r="F58" s="1496"/>
      <c r="G58" s="1490"/>
      <c r="H58" s="1490"/>
      <c r="I58" s="1355"/>
      <c r="J58" s="1355"/>
      <c r="K58" s="1355"/>
      <c r="L58" s="1265"/>
      <c r="M58" s="1265"/>
    </row>
    <row r="59" spans="1:13" ht="33.75" customHeight="1" thickBot="1" x14ac:dyDescent="0.3">
      <c r="A59" s="307"/>
      <c r="B59" s="371" t="s">
        <v>204</v>
      </c>
      <c r="C59" s="371"/>
      <c r="D59" s="307"/>
      <c r="E59" s="1491"/>
      <c r="F59" s="1492"/>
      <c r="G59" s="1491"/>
      <c r="H59" s="1492"/>
      <c r="I59" s="1483"/>
      <c r="J59" s="1484"/>
      <c r="K59" s="1485"/>
      <c r="L59" s="1493"/>
      <c r="M59" s="1494"/>
    </row>
    <row r="60" spans="1:13" ht="6" customHeight="1" thickBot="1" x14ac:dyDescent="0.3">
      <c r="A60" s="307"/>
      <c r="B60" s="371"/>
      <c r="C60" s="371"/>
      <c r="D60" s="307"/>
      <c r="E60" s="1496"/>
      <c r="F60" s="1496"/>
      <c r="G60" s="1490"/>
      <c r="H60" s="1490"/>
      <c r="I60" s="1355"/>
      <c r="J60" s="1355"/>
      <c r="K60" s="1355"/>
      <c r="L60" s="1265"/>
      <c r="M60" s="1265"/>
    </row>
    <row r="61" spans="1:13" ht="34.5" customHeight="1" thickBot="1" x14ac:dyDescent="0.3">
      <c r="A61" s="307"/>
      <c r="B61" s="371" t="s">
        <v>166</v>
      </c>
      <c r="C61" s="371"/>
      <c r="D61" s="307"/>
      <c r="E61" s="1491"/>
      <c r="F61" s="1492"/>
      <c r="G61" s="1491"/>
      <c r="H61" s="1492"/>
      <c r="I61" s="1486"/>
      <c r="J61" s="1487"/>
      <c r="K61" s="1488"/>
      <c r="L61" s="1493"/>
      <c r="M61" s="1494"/>
    </row>
    <row r="62" spans="1:13" ht="6" customHeight="1" thickBot="1" x14ac:dyDescent="0.3">
      <c r="A62" s="307"/>
      <c r="B62" s="371"/>
      <c r="C62" s="371"/>
      <c r="D62" s="307"/>
      <c r="E62" s="1496"/>
      <c r="F62" s="1496"/>
      <c r="G62" s="1490"/>
      <c r="H62" s="1490"/>
      <c r="I62" s="1355"/>
      <c r="J62" s="1355"/>
      <c r="K62" s="1355"/>
      <c r="L62" s="1265"/>
      <c r="M62" s="1265"/>
    </row>
    <row r="63" spans="1:13" ht="34.5" customHeight="1" thickBot="1" x14ac:dyDescent="0.3">
      <c r="A63" s="307"/>
      <c r="B63" s="371" t="s">
        <v>165</v>
      </c>
      <c r="C63" s="371"/>
      <c r="D63" s="307"/>
      <c r="E63" s="1491"/>
      <c r="F63" s="1492"/>
      <c r="G63" s="1491"/>
      <c r="H63" s="1492"/>
      <c r="I63" s="1483"/>
      <c r="J63" s="1484"/>
      <c r="K63" s="1485"/>
      <c r="L63" s="1493"/>
      <c r="M63" s="1494"/>
    </row>
    <row r="64" spans="1:13" ht="6" customHeight="1" thickBot="1" x14ac:dyDescent="0.3">
      <c r="A64" s="307"/>
      <c r="B64" s="371"/>
      <c r="C64" s="371"/>
      <c r="D64" s="307"/>
      <c r="E64" s="1496"/>
      <c r="F64" s="1496"/>
      <c r="G64" s="1490"/>
      <c r="H64" s="1490"/>
      <c r="I64" s="1355"/>
      <c r="J64" s="1355"/>
      <c r="K64" s="1355"/>
      <c r="L64" s="1265"/>
      <c r="M64" s="1265"/>
    </row>
    <row r="65" spans="1:13" ht="34.5" customHeight="1" thickBot="1" x14ac:dyDescent="0.3">
      <c r="A65" s="307"/>
      <c r="B65" s="371" t="s">
        <v>167</v>
      </c>
      <c r="C65" s="371"/>
      <c r="D65" s="307"/>
      <c r="E65" s="1491"/>
      <c r="F65" s="1492"/>
      <c r="G65" s="1491"/>
      <c r="H65" s="1492"/>
      <c r="I65" s="1483"/>
      <c r="J65" s="1484"/>
      <c r="K65" s="1485"/>
      <c r="L65" s="1493"/>
      <c r="M65" s="1494"/>
    </row>
    <row r="66" spans="1:13" ht="9.9" customHeight="1" x14ac:dyDescent="0.25">
      <c r="A66" s="307"/>
      <c r="B66" s="307"/>
      <c r="C66" s="307"/>
      <c r="D66" s="307"/>
      <c r="E66" s="307"/>
      <c r="F66" s="307"/>
      <c r="G66" s="307"/>
      <c r="H66" s="307"/>
      <c r="I66" s="307"/>
      <c r="J66" s="307"/>
      <c r="K66" s="307"/>
    </row>
    <row r="67" spans="1:13" x14ac:dyDescent="0.25">
      <c r="A67" s="307"/>
      <c r="B67" s="307"/>
      <c r="C67" s="307"/>
      <c r="D67" s="307"/>
      <c r="E67" s="307"/>
      <c r="F67" s="307"/>
      <c r="G67" s="307"/>
      <c r="H67" s="307"/>
      <c r="I67" s="307"/>
      <c r="J67" s="307"/>
      <c r="K67" s="307"/>
      <c r="M67" s="308"/>
    </row>
    <row r="68" spans="1:13" ht="24" customHeight="1" x14ac:dyDescent="0.25">
      <c r="A68" s="307"/>
      <c r="B68" s="307"/>
      <c r="C68" s="307"/>
      <c r="D68" s="307"/>
      <c r="E68" s="307"/>
      <c r="F68" s="307"/>
      <c r="G68" s="307"/>
      <c r="H68" s="307"/>
      <c r="I68" s="307"/>
      <c r="J68" s="307"/>
      <c r="K68" s="307"/>
      <c r="M68" s="308"/>
    </row>
  </sheetData>
  <sheetProtection algorithmName="SHA-512" hashValue="z4JEtPQR2b38dasOxFgW01J6+2dPvDOOBG15TQ3dlKPVn267Uye6QIMpRqQS+DjfDFPQCElQ/XXs73srq//IWQ==" saltValue="3U+rnWCazOrZBqv6q8ZxNw==" spinCount="100000" sheet="1" objects="1" scenarios="1" selectLockedCells="1"/>
  <mergeCells count="85">
    <mergeCell ref="E26:H26"/>
    <mergeCell ref="J26:L26"/>
    <mergeCell ref="K14:M14"/>
    <mergeCell ref="E14:G14"/>
    <mergeCell ref="E16:H16"/>
    <mergeCell ref="E4:M4"/>
    <mergeCell ref="G6:I6"/>
    <mergeCell ref="E8:M8"/>
    <mergeCell ref="E10:M10"/>
    <mergeCell ref="E12:M12"/>
    <mergeCell ref="B32:D32"/>
    <mergeCell ref="H32:M32"/>
    <mergeCell ref="E32:F32"/>
    <mergeCell ref="B33:D33"/>
    <mergeCell ref="B34:D34"/>
    <mergeCell ref="B35:D35"/>
    <mergeCell ref="E33:F33"/>
    <mergeCell ref="E34:F34"/>
    <mergeCell ref="E35:F35"/>
    <mergeCell ref="H33:M33"/>
    <mergeCell ref="H34:M34"/>
    <mergeCell ref="H35:M35"/>
    <mergeCell ref="L65:M65"/>
    <mergeCell ref="L59:M59"/>
    <mergeCell ref="L55:M55"/>
    <mergeCell ref="L57:M57"/>
    <mergeCell ref="D39:M43"/>
    <mergeCell ref="L51:M51"/>
    <mergeCell ref="L53:M53"/>
    <mergeCell ref="L49:M49"/>
    <mergeCell ref="L47:M47"/>
    <mergeCell ref="E47:F47"/>
    <mergeCell ref="E48:F48"/>
    <mergeCell ref="E49:F49"/>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G65:H65"/>
    <mergeCell ref="E45:F45"/>
    <mergeCell ref="G45:H45"/>
    <mergeCell ref="E65:F65"/>
    <mergeCell ref="G47:H47"/>
    <mergeCell ref="G48:H48"/>
    <mergeCell ref="G49:H49"/>
    <mergeCell ref="G50:H50"/>
    <mergeCell ref="G51:H51"/>
    <mergeCell ref="G52:H52"/>
    <mergeCell ref="G53:H53"/>
    <mergeCell ref="G54:H54"/>
    <mergeCell ref="G55:H55"/>
    <mergeCell ref="G56:H56"/>
    <mergeCell ref="G57:H57"/>
    <mergeCell ref="G58:H58"/>
    <mergeCell ref="I45:K45"/>
    <mergeCell ref="L45:M45"/>
    <mergeCell ref="G62:H62"/>
    <mergeCell ref="G63:H63"/>
    <mergeCell ref="G64:H64"/>
    <mergeCell ref="G59:H59"/>
    <mergeCell ref="G60:H60"/>
    <mergeCell ref="G61:H61"/>
    <mergeCell ref="L61:M61"/>
    <mergeCell ref="L63:M63"/>
    <mergeCell ref="I55:K55"/>
    <mergeCell ref="I53:K53"/>
    <mergeCell ref="I51:K51"/>
    <mergeCell ref="I49:K49"/>
    <mergeCell ref="I47:K47"/>
    <mergeCell ref="I65:K65"/>
    <mergeCell ref="I63:K63"/>
    <mergeCell ref="I61:K61"/>
    <mergeCell ref="I59:K59"/>
    <mergeCell ref="I57:K57"/>
  </mergeCells>
  <phoneticPr fontId="11" type="noConversion"/>
  <dataValidations count="2">
    <dataValidation type="list" allowBlank="1" showInputMessage="1" showErrorMessage="1" sqref="E26:H26" xr:uid="{00000000-0002-0000-0700-000000000000}">
      <formula1>$E$19:$E$25</formula1>
    </dataValidation>
    <dataValidation type="list" allowBlank="1" showInputMessage="1" showErrorMessage="1" sqref="J26:L26" xr:uid="{00000000-0002-0000-0700-000001000000}">
      <formula1>$J$23:$J$25</formula1>
    </dataValidation>
  </dataValidations>
  <printOptions horizontalCentered="1"/>
  <pageMargins left="0.5" right="0.5" top="0.5" bottom="0.17" header="0.5" footer="0.25"/>
  <pageSetup scale="73"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3"/>
  <dimension ref="A1:Q103"/>
  <sheetViews>
    <sheetView showGridLines="0" zoomScaleNormal="100" zoomScaleSheetLayoutView="100" workbookViewId="0">
      <selection activeCell="A43" sqref="A43:M99"/>
    </sheetView>
  </sheetViews>
  <sheetFormatPr defaultColWidth="9.109375" defaultRowHeight="15" x14ac:dyDescent="0.25"/>
  <cols>
    <col min="1" max="7" width="9.109375" style="696" customWidth="1"/>
    <col min="8" max="14" width="9.109375" style="696"/>
    <col min="15" max="17" width="9.109375" style="272"/>
    <col min="18" max="16384" width="9.109375" style="696"/>
  </cols>
  <sheetData>
    <row r="1" spans="1:13" ht="30" customHeight="1" x14ac:dyDescent="0.25">
      <c r="A1" s="1542" t="s">
        <v>862</v>
      </c>
      <c r="B1" s="1542"/>
      <c r="C1" s="1542"/>
      <c r="D1" s="1542"/>
      <c r="E1" s="1542"/>
      <c r="F1" s="1542"/>
      <c r="G1" s="1542"/>
      <c r="H1" s="1542"/>
      <c r="I1" s="1542"/>
      <c r="J1" s="1542"/>
      <c r="K1" s="1542"/>
      <c r="L1" s="1542"/>
      <c r="M1" s="1542"/>
    </row>
    <row r="2" spans="1:13" ht="78.75" customHeight="1" x14ac:dyDescent="0.25">
      <c r="A2" s="1543" t="s">
        <v>863</v>
      </c>
      <c r="B2" s="1543"/>
      <c r="C2" s="1543"/>
      <c r="D2" s="1543"/>
      <c r="E2" s="1543"/>
      <c r="F2" s="1543"/>
      <c r="G2" s="1543"/>
      <c r="H2" s="1543"/>
      <c r="I2" s="1543"/>
      <c r="J2" s="1543"/>
      <c r="K2" s="1543"/>
      <c r="L2" s="1543"/>
      <c r="M2" s="1543"/>
    </row>
    <row r="3" spans="1:13" ht="78.75" customHeight="1" x14ac:dyDescent="0.25">
      <c r="A3" s="1543" t="s">
        <v>864</v>
      </c>
      <c r="B3" s="1543"/>
      <c r="C3" s="1543"/>
      <c r="D3" s="1543"/>
      <c r="E3" s="1543"/>
      <c r="F3" s="1543"/>
      <c r="G3" s="1543"/>
      <c r="H3" s="1543"/>
      <c r="I3" s="1543"/>
      <c r="J3" s="1543"/>
      <c r="K3" s="1543"/>
      <c r="L3" s="1543"/>
      <c r="M3" s="1543"/>
    </row>
    <row r="4" spans="1:13" ht="110.25" customHeight="1" x14ac:dyDescent="0.25">
      <c r="A4" s="1543" t="s">
        <v>865</v>
      </c>
      <c r="B4" s="1543"/>
      <c r="C4" s="1543"/>
      <c r="D4" s="1543"/>
      <c r="E4" s="1543"/>
      <c r="F4" s="1543"/>
      <c r="G4" s="1543"/>
      <c r="H4" s="1543"/>
      <c r="I4" s="1543"/>
      <c r="J4" s="1543"/>
      <c r="K4" s="1543"/>
      <c r="L4" s="1543"/>
      <c r="M4" s="1543"/>
    </row>
    <row r="5" spans="1:13" x14ac:dyDescent="0.25">
      <c r="A5" s="764" t="s">
        <v>866</v>
      </c>
    </row>
    <row r="6" spans="1:13" x14ac:dyDescent="0.25">
      <c r="A6" s="764" t="s">
        <v>867</v>
      </c>
    </row>
    <row r="7" spans="1:13" x14ac:dyDescent="0.25">
      <c r="A7" s="764" t="s">
        <v>868</v>
      </c>
    </row>
    <row r="8" spans="1:13" x14ac:dyDescent="0.25">
      <c r="A8" s="764" t="s">
        <v>869</v>
      </c>
    </row>
    <row r="9" spans="1:13" x14ac:dyDescent="0.25">
      <c r="A9" s="764" t="s">
        <v>870</v>
      </c>
    </row>
    <row r="10" spans="1:13" x14ac:dyDescent="0.25">
      <c r="A10" s="764" t="s">
        <v>871</v>
      </c>
    </row>
    <row r="11" spans="1:13" x14ac:dyDescent="0.25">
      <c r="A11" s="764" t="s">
        <v>872</v>
      </c>
    </row>
    <row r="12" spans="1:13" x14ac:dyDescent="0.25">
      <c r="A12" s="764" t="s">
        <v>873</v>
      </c>
    </row>
    <row r="13" spans="1:13" x14ac:dyDescent="0.25">
      <c r="A13" s="764" t="s">
        <v>874</v>
      </c>
    </row>
    <row r="14" spans="1:13" x14ac:dyDescent="0.25">
      <c r="A14" s="764" t="s">
        <v>875</v>
      </c>
    </row>
    <row r="15" spans="1:13" x14ac:dyDescent="0.25">
      <c r="A15" s="696" t="s">
        <v>41</v>
      </c>
    </row>
    <row r="16" spans="1:13" ht="31.5" customHeight="1" x14ac:dyDescent="0.3">
      <c r="A16" s="1544" t="s">
        <v>876</v>
      </c>
      <c r="B16" s="1544"/>
      <c r="C16" s="1544"/>
      <c r="D16" s="1544"/>
      <c r="E16" s="1544"/>
      <c r="F16" s="1544"/>
      <c r="G16" s="1544"/>
      <c r="H16" s="1544"/>
      <c r="I16" s="1544"/>
      <c r="J16" s="1544"/>
      <c r="K16" s="1544"/>
      <c r="L16" s="1544"/>
      <c r="M16" s="1544"/>
    </row>
    <row r="17" spans="1:17" x14ac:dyDescent="0.25">
      <c r="A17" s="696" t="s">
        <v>41</v>
      </c>
      <c r="M17" s="692" t="str">
        <f>'Project Information'!D4</f>
        <v>Project Name</v>
      </c>
    </row>
    <row r="18" spans="1:17" ht="15.6" x14ac:dyDescent="0.3">
      <c r="A18" s="765" t="s">
        <v>877</v>
      </c>
      <c r="B18" s="765"/>
      <c r="C18" s="765"/>
      <c r="D18" s="765"/>
      <c r="E18" s="765"/>
      <c r="F18" s="765"/>
      <c r="G18" s="765"/>
    </row>
    <row r="19" spans="1:17" hidden="1" x14ac:dyDescent="0.25"/>
    <row r="20" spans="1:17" hidden="1" x14ac:dyDescent="0.25">
      <c r="I20" s="766"/>
      <c r="J20" s="766"/>
      <c r="M20" s="766" t="s">
        <v>878</v>
      </c>
    </row>
    <row r="21" spans="1:17" hidden="1" x14ac:dyDescent="0.25">
      <c r="I21" s="766"/>
      <c r="J21" s="766"/>
      <c r="M21" s="766" t="s">
        <v>491</v>
      </c>
    </row>
    <row r="22" spans="1:17" hidden="1" x14ac:dyDescent="0.25">
      <c r="I22" s="766"/>
      <c r="J22" s="766"/>
      <c r="M22" s="766" t="s">
        <v>493</v>
      </c>
    </row>
    <row r="23" spans="1:17" ht="65.099999999999994" customHeight="1" x14ac:dyDescent="0.3">
      <c r="A23" s="1544" t="s">
        <v>879</v>
      </c>
      <c r="B23" s="1544"/>
      <c r="C23" s="1544"/>
      <c r="D23" s="1544"/>
      <c r="E23" s="1544"/>
      <c r="F23" s="1544"/>
      <c r="G23" s="1544"/>
      <c r="H23" s="1544"/>
      <c r="I23" s="1544"/>
      <c r="J23" s="1544"/>
      <c r="K23" s="1544"/>
      <c r="L23" s="1544"/>
      <c r="M23" s="767" t="s">
        <v>878</v>
      </c>
    </row>
    <row r="25" spans="1:17" s="769" customFormat="1" ht="17.399999999999999" x14ac:dyDescent="0.3">
      <c r="A25" s="768" t="s">
        <v>880</v>
      </c>
      <c r="B25" s="768"/>
      <c r="C25" s="768"/>
      <c r="D25" s="768"/>
      <c r="E25" s="768"/>
      <c r="F25" s="768"/>
      <c r="G25" s="768"/>
      <c r="O25" s="770"/>
      <c r="P25" s="770"/>
      <c r="Q25" s="770"/>
    </row>
    <row r="26" spans="1:17" ht="16.2" thickBot="1" x14ac:dyDescent="0.35">
      <c r="A26" s="695"/>
      <c r="B26" s="695"/>
      <c r="C26" s="695"/>
      <c r="D26" s="695"/>
      <c r="E26" s="695"/>
      <c r="F26" s="695"/>
      <c r="G26" s="695"/>
    </row>
    <row r="27" spans="1:17" x14ac:dyDescent="0.25">
      <c r="A27" s="1532"/>
      <c r="B27" s="1533"/>
      <c r="C27" s="1533"/>
      <c r="D27" s="1533"/>
      <c r="E27" s="1533"/>
      <c r="F27" s="1533"/>
      <c r="G27" s="1533"/>
      <c r="H27" s="1533"/>
      <c r="I27" s="1533"/>
      <c r="J27" s="1533"/>
      <c r="K27" s="1533"/>
      <c r="L27" s="1533"/>
      <c r="M27" s="1534"/>
    </row>
    <row r="28" spans="1:17" x14ac:dyDescent="0.25">
      <c r="A28" s="1535"/>
      <c r="B28" s="1536"/>
      <c r="C28" s="1536"/>
      <c r="D28" s="1536"/>
      <c r="E28" s="1536"/>
      <c r="F28" s="1536"/>
      <c r="G28" s="1536"/>
      <c r="H28" s="1536"/>
      <c r="I28" s="1536"/>
      <c r="J28" s="1536"/>
      <c r="K28" s="1536"/>
      <c r="L28" s="1536"/>
      <c r="M28" s="1537"/>
    </row>
    <row r="29" spans="1:17" x14ac:dyDescent="0.25">
      <c r="A29" s="1535"/>
      <c r="B29" s="1536"/>
      <c r="C29" s="1536"/>
      <c r="D29" s="1536"/>
      <c r="E29" s="1536"/>
      <c r="F29" s="1536"/>
      <c r="G29" s="1536"/>
      <c r="H29" s="1536"/>
      <c r="I29" s="1536"/>
      <c r="J29" s="1536"/>
      <c r="K29" s="1536"/>
      <c r="L29" s="1536"/>
      <c r="M29" s="1537"/>
    </row>
    <row r="30" spans="1:17" x14ac:dyDescent="0.25">
      <c r="A30" s="1535"/>
      <c r="B30" s="1536"/>
      <c r="C30" s="1536"/>
      <c r="D30" s="1536"/>
      <c r="E30" s="1536"/>
      <c r="F30" s="1536"/>
      <c r="G30" s="1536"/>
      <c r="H30" s="1536"/>
      <c r="I30" s="1536"/>
      <c r="J30" s="1536"/>
      <c r="K30" s="1536"/>
      <c r="L30" s="1536"/>
      <c r="M30" s="1537"/>
    </row>
    <row r="31" spans="1:17" x14ac:dyDescent="0.25">
      <c r="A31" s="1535"/>
      <c r="B31" s="1536"/>
      <c r="C31" s="1536"/>
      <c r="D31" s="1536"/>
      <c r="E31" s="1536"/>
      <c r="F31" s="1536"/>
      <c r="G31" s="1536"/>
      <c r="H31" s="1536"/>
      <c r="I31" s="1536"/>
      <c r="J31" s="1536"/>
      <c r="K31" s="1536"/>
      <c r="L31" s="1536"/>
      <c r="M31" s="1537"/>
    </row>
    <row r="32" spans="1:17" x14ac:dyDescent="0.25">
      <c r="A32" s="1535"/>
      <c r="B32" s="1536"/>
      <c r="C32" s="1536"/>
      <c r="D32" s="1536"/>
      <c r="E32" s="1536"/>
      <c r="F32" s="1536"/>
      <c r="G32" s="1536"/>
      <c r="H32" s="1536"/>
      <c r="I32" s="1536"/>
      <c r="J32" s="1536"/>
      <c r="K32" s="1536"/>
      <c r="L32" s="1536"/>
      <c r="M32" s="1537"/>
    </row>
    <row r="33" spans="1:13" x14ac:dyDescent="0.25">
      <c r="A33" s="1535"/>
      <c r="B33" s="1536"/>
      <c r="C33" s="1536"/>
      <c r="D33" s="1536"/>
      <c r="E33" s="1536"/>
      <c r="F33" s="1536"/>
      <c r="G33" s="1536"/>
      <c r="H33" s="1536"/>
      <c r="I33" s="1536"/>
      <c r="J33" s="1536"/>
      <c r="K33" s="1536"/>
      <c r="L33" s="1536"/>
      <c r="M33" s="1537"/>
    </row>
    <row r="34" spans="1:13" x14ac:dyDescent="0.25">
      <c r="A34" s="1535"/>
      <c r="B34" s="1536"/>
      <c r="C34" s="1536"/>
      <c r="D34" s="1536"/>
      <c r="E34" s="1536"/>
      <c r="F34" s="1536"/>
      <c r="G34" s="1536"/>
      <c r="H34" s="1536"/>
      <c r="I34" s="1536"/>
      <c r="J34" s="1536"/>
      <c r="K34" s="1536"/>
      <c r="L34" s="1536"/>
      <c r="M34" s="1537"/>
    </row>
    <row r="35" spans="1:13" x14ac:dyDescent="0.25">
      <c r="A35" s="1535"/>
      <c r="B35" s="1536"/>
      <c r="C35" s="1536"/>
      <c r="D35" s="1536"/>
      <c r="E35" s="1536"/>
      <c r="F35" s="1536"/>
      <c r="G35" s="1536"/>
      <c r="H35" s="1536"/>
      <c r="I35" s="1536"/>
      <c r="J35" s="1536"/>
      <c r="K35" s="1536"/>
      <c r="L35" s="1536"/>
      <c r="M35" s="1537"/>
    </row>
    <row r="36" spans="1:13" x14ac:dyDescent="0.25">
      <c r="A36" s="1535"/>
      <c r="B36" s="1536"/>
      <c r="C36" s="1536"/>
      <c r="D36" s="1536"/>
      <c r="E36" s="1536"/>
      <c r="F36" s="1536"/>
      <c r="G36" s="1536"/>
      <c r="H36" s="1536"/>
      <c r="I36" s="1536"/>
      <c r="J36" s="1536"/>
      <c r="K36" s="1536"/>
      <c r="L36" s="1536"/>
      <c r="M36" s="1537"/>
    </row>
    <row r="37" spans="1:13" x14ac:dyDescent="0.25">
      <c r="A37" s="1535"/>
      <c r="B37" s="1536"/>
      <c r="C37" s="1536"/>
      <c r="D37" s="1536"/>
      <c r="E37" s="1536"/>
      <c r="F37" s="1536"/>
      <c r="G37" s="1536"/>
      <c r="H37" s="1536"/>
      <c r="I37" s="1536"/>
      <c r="J37" s="1536"/>
      <c r="K37" s="1536"/>
      <c r="L37" s="1536"/>
      <c r="M37" s="1537"/>
    </row>
    <row r="38" spans="1:13" x14ac:dyDescent="0.25">
      <c r="A38" s="1535"/>
      <c r="B38" s="1536"/>
      <c r="C38" s="1536"/>
      <c r="D38" s="1536"/>
      <c r="E38" s="1536"/>
      <c r="F38" s="1536"/>
      <c r="G38" s="1536"/>
      <c r="H38" s="1536"/>
      <c r="I38" s="1536"/>
      <c r="J38" s="1536"/>
      <c r="K38" s="1536"/>
      <c r="L38" s="1536"/>
      <c r="M38" s="1537"/>
    </row>
    <row r="39" spans="1:13" x14ac:dyDescent="0.25">
      <c r="A39" s="1535"/>
      <c r="B39" s="1536"/>
      <c r="C39" s="1536"/>
      <c r="D39" s="1536"/>
      <c r="E39" s="1536"/>
      <c r="F39" s="1536"/>
      <c r="G39" s="1536"/>
      <c r="H39" s="1536"/>
      <c r="I39" s="1536"/>
      <c r="J39" s="1536"/>
      <c r="K39" s="1536"/>
      <c r="L39" s="1536"/>
      <c r="M39" s="1537"/>
    </row>
    <row r="40" spans="1:13" ht="15.6" thickBot="1" x14ac:dyDescent="0.3">
      <c r="A40" s="1538"/>
      <c r="B40" s="1539"/>
      <c r="C40" s="1539"/>
      <c r="D40" s="1539"/>
      <c r="E40" s="1539"/>
      <c r="F40" s="1539"/>
      <c r="G40" s="1539"/>
      <c r="H40" s="1539"/>
      <c r="I40" s="1539"/>
      <c r="J40" s="1539"/>
      <c r="K40" s="1539"/>
      <c r="L40" s="1539"/>
      <c r="M40" s="1540"/>
    </row>
    <row r="41" spans="1:13" ht="16.5" customHeight="1" x14ac:dyDescent="0.25">
      <c r="A41" s="1541" t="s">
        <v>881</v>
      </c>
      <c r="B41" s="1541"/>
      <c r="C41" s="1541"/>
      <c r="D41" s="1541"/>
      <c r="E41" s="1541"/>
      <c r="F41" s="1541"/>
      <c r="G41" s="1541"/>
      <c r="H41" s="1541"/>
      <c r="I41" s="1541"/>
      <c r="J41" s="1541"/>
      <c r="K41" s="1541"/>
      <c r="L41" s="1541"/>
      <c r="M41" s="1541"/>
    </row>
    <row r="42" spans="1:13" ht="16.5" customHeight="1" thickBot="1" x14ac:dyDescent="0.3">
      <c r="A42" s="691"/>
      <c r="B42" s="691"/>
      <c r="C42" s="691"/>
      <c r="D42" s="691"/>
      <c r="E42" s="691"/>
      <c r="F42" s="691"/>
      <c r="G42" s="691"/>
      <c r="H42" s="691"/>
      <c r="I42" s="691"/>
      <c r="J42" s="691"/>
      <c r="K42" s="691"/>
      <c r="L42" s="691"/>
      <c r="M42" s="692" t="str">
        <f>M17</f>
        <v>Project Name</v>
      </c>
    </row>
    <row r="43" spans="1:13" x14ac:dyDescent="0.25">
      <c r="A43" s="1532"/>
      <c r="B43" s="1533"/>
      <c r="C43" s="1533"/>
      <c r="D43" s="1533"/>
      <c r="E43" s="1533"/>
      <c r="F43" s="1533"/>
      <c r="G43" s="1533"/>
      <c r="H43" s="1533"/>
      <c r="I43" s="1533"/>
      <c r="J43" s="1533"/>
      <c r="K43" s="1533"/>
      <c r="L43" s="1533"/>
      <c r="M43" s="1534"/>
    </row>
    <row r="44" spans="1:13" x14ac:dyDescent="0.25">
      <c r="A44" s="1535"/>
      <c r="B44" s="1536"/>
      <c r="C44" s="1536"/>
      <c r="D44" s="1536"/>
      <c r="E44" s="1536"/>
      <c r="F44" s="1536"/>
      <c r="G44" s="1536"/>
      <c r="H44" s="1536"/>
      <c r="I44" s="1536"/>
      <c r="J44" s="1536"/>
      <c r="K44" s="1536"/>
      <c r="L44" s="1536"/>
      <c r="M44" s="1537"/>
    </row>
    <row r="45" spans="1:13" x14ac:dyDescent="0.25">
      <c r="A45" s="1535"/>
      <c r="B45" s="1536"/>
      <c r="C45" s="1536"/>
      <c r="D45" s="1536"/>
      <c r="E45" s="1536"/>
      <c r="F45" s="1536"/>
      <c r="G45" s="1536"/>
      <c r="H45" s="1536"/>
      <c r="I45" s="1536"/>
      <c r="J45" s="1536"/>
      <c r="K45" s="1536"/>
      <c r="L45" s="1536"/>
      <c r="M45" s="1537"/>
    </row>
    <row r="46" spans="1:13" x14ac:dyDescent="0.25">
      <c r="A46" s="1535"/>
      <c r="B46" s="1536"/>
      <c r="C46" s="1536"/>
      <c r="D46" s="1536"/>
      <c r="E46" s="1536"/>
      <c r="F46" s="1536"/>
      <c r="G46" s="1536"/>
      <c r="H46" s="1536"/>
      <c r="I46" s="1536"/>
      <c r="J46" s="1536"/>
      <c r="K46" s="1536"/>
      <c r="L46" s="1536"/>
      <c r="M46" s="1537"/>
    </row>
    <row r="47" spans="1:13" x14ac:dyDescent="0.25">
      <c r="A47" s="1535"/>
      <c r="B47" s="1536"/>
      <c r="C47" s="1536"/>
      <c r="D47" s="1536"/>
      <c r="E47" s="1536"/>
      <c r="F47" s="1536"/>
      <c r="G47" s="1536"/>
      <c r="H47" s="1536"/>
      <c r="I47" s="1536"/>
      <c r="J47" s="1536"/>
      <c r="K47" s="1536"/>
      <c r="L47" s="1536"/>
      <c r="M47" s="1537"/>
    </row>
    <row r="48" spans="1:13" x14ac:dyDescent="0.25">
      <c r="A48" s="1535"/>
      <c r="B48" s="1536"/>
      <c r="C48" s="1536"/>
      <c r="D48" s="1536"/>
      <c r="E48" s="1536"/>
      <c r="F48" s="1536"/>
      <c r="G48" s="1536"/>
      <c r="H48" s="1536"/>
      <c r="I48" s="1536"/>
      <c r="J48" s="1536"/>
      <c r="K48" s="1536"/>
      <c r="L48" s="1536"/>
      <c r="M48" s="1537"/>
    </row>
    <row r="49" spans="1:13" x14ac:dyDescent="0.25">
      <c r="A49" s="1535"/>
      <c r="B49" s="1536"/>
      <c r="C49" s="1536"/>
      <c r="D49" s="1536"/>
      <c r="E49" s="1536"/>
      <c r="F49" s="1536"/>
      <c r="G49" s="1536"/>
      <c r="H49" s="1536"/>
      <c r="I49" s="1536"/>
      <c r="J49" s="1536"/>
      <c r="K49" s="1536"/>
      <c r="L49" s="1536"/>
      <c r="M49" s="1537"/>
    </row>
    <row r="50" spans="1:13" x14ac:dyDescent="0.25">
      <c r="A50" s="1535"/>
      <c r="B50" s="1536"/>
      <c r="C50" s="1536"/>
      <c r="D50" s="1536"/>
      <c r="E50" s="1536"/>
      <c r="F50" s="1536"/>
      <c r="G50" s="1536"/>
      <c r="H50" s="1536"/>
      <c r="I50" s="1536"/>
      <c r="J50" s="1536"/>
      <c r="K50" s="1536"/>
      <c r="L50" s="1536"/>
      <c r="M50" s="1537"/>
    </row>
    <row r="51" spans="1:13" x14ac:dyDescent="0.25">
      <c r="A51" s="1535"/>
      <c r="B51" s="1536"/>
      <c r="C51" s="1536"/>
      <c r="D51" s="1536"/>
      <c r="E51" s="1536"/>
      <c r="F51" s="1536"/>
      <c r="G51" s="1536"/>
      <c r="H51" s="1536"/>
      <c r="I51" s="1536"/>
      <c r="J51" s="1536"/>
      <c r="K51" s="1536"/>
      <c r="L51" s="1536"/>
      <c r="M51" s="1537"/>
    </row>
    <row r="52" spans="1:13" x14ac:dyDescent="0.25">
      <c r="A52" s="1535"/>
      <c r="B52" s="1536"/>
      <c r="C52" s="1536"/>
      <c r="D52" s="1536"/>
      <c r="E52" s="1536"/>
      <c r="F52" s="1536"/>
      <c r="G52" s="1536"/>
      <c r="H52" s="1536"/>
      <c r="I52" s="1536"/>
      <c r="J52" s="1536"/>
      <c r="K52" s="1536"/>
      <c r="L52" s="1536"/>
      <c r="M52" s="1537"/>
    </row>
    <row r="53" spans="1:13" x14ac:dyDescent="0.25">
      <c r="A53" s="1535"/>
      <c r="B53" s="1536"/>
      <c r="C53" s="1536"/>
      <c r="D53" s="1536"/>
      <c r="E53" s="1536"/>
      <c r="F53" s="1536"/>
      <c r="G53" s="1536"/>
      <c r="H53" s="1536"/>
      <c r="I53" s="1536"/>
      <c r="J53" s="1536"/>
      <c r="K53" s="1536"/>
      <c r="L53" s="1536"/>
      <c r="M53" s="1537"/>
    </row>
    <row r="54" spans="1:13" x14ac:dyDescent="0.25">
      <c r="A54" s="1535"/>
      <c r="B54" s="1536"/>
      <c r="C54" s="1536"/>
      <c r="D54" s="1536"/>
      <c r="E54" s="1536"/>
      <c r="F54" s="1536"/>
      <c r="G54" s="1536"/>
      <c r="H54" s="1536"/>
      <c r="I54" s="1536"/>
      <c r="J54" s="1536"/>
      <c r="K54" s="1536"/>
      <c r="L54" s="1536"/>
      <c r="M54" s="1537"/>
    </row>
    <row r="55" spans="1:13" x14ac:dyDescent="0.25">
      <c r="A55" s="1535"/>
      <c r="B55" s="1536"/>
      <c r="C55" s="1536"/>
      <c r="D55" s="1536"/>
      <c r="E55" s="1536"/>
      <c r="F55" s="1536"/>
      <c r="G55" s="1536"/>
      <c r="H55" s="1536"/>
      <c r="I55" s="1536"/>
      <c r="J55" s="1536"/>
      <c r="K55" s="1536"/>
      <c r="L55" s="1536"/>
      <c r="M55" s="1537"/>
    </row>
    <row r="56" spans="1:13" x14ac:dyDescent="0.25">
      <c r="A56" s="1535"/>
      <c r="B56" s="1536"/>
      <c r="C56" s="1536"/>
      <c r="D56" s="1536"/>
      <c r="E56" s="1536"/>
      <c r="F56" s="1536"/>
      <c r="G56" s="1536"/>
      <c r="H56" s="1536"/>
      <c r="I56" s="1536"/>
      <c r="J56" s="1536"/>
      <c r="K56" s="1536"/>
      <c r="L56" s="1536"/>
      <c r="M56" s="1537"/>
    </row>
    <row r="57" spans="1:13" x14ac:dyDescent="0.25">
      <c r="A57" s="1535"/>
      <c r="B57" s="1536"/>
      <c r="C57" s="1536"/>
      <c r="D57" s="1536"/>
      <c r="E57" s="1536"/>
      <c r="F57" s="1536"/>
      <c r="G57" s="1536"/>
      <c r="H57" s="1536"/>
      <c r="I57" s="1536"/>
      <c r="J57" s="1536"/>
      <c r="K57" s="1536"/>
      <c r="L57" s="1536"/>
      <c r="M57" s="1537"/>
    </row>
    <row r="58" spans="1:13" x14ac:dyDescent="0.25">
      <c r="A58" s="1535"/>
      <c r="B58" s="1536"/>
      <c r="C58" s="1536"/>
      <c r="D58" s="1536"/>
      <c r="E58" s="1536"/>
      <c r="F58" s="1536"/>
      <c r="G58" s="1536"/>
      <c r="H58" s="1536"/>
      <c r="I58" s="1536"/>
      <c r="J58" s="1536"/>
      <c r="K58" s="1536"/>
      <c r="L58" s="1536"/>
      <c r="M58" s="1537"/>
    </row>
    <row r="59" spans="1:13" x14ac:dyDescent="0.25">
      <c r="A59" s="1535"/>
      <c r="B59" s="1536"/>
      <c r="C59" s="1536"/>
      <c r="D59" s="1536"/>
      <c r="E59" s="1536"/>
      <c r="F59" s="1536"/>
      <c r="G59" s="1536"/>
      <c r="H59" s="1536"/>
      <c r="I59" s="1536"/>
      <c r="J59" s="1536"/>
      <c r="K59" s="1536"/>
      <c r="L59" s="1536"/>
      <c r="M59" s="1537"/>
    </row>
    <row r="60" spans="1:13" x14ac:dyDescent="0.25">
      <c r="A60" s="1535"/>
      <c r="B60" s="1536"/>
      <c r="C60" s="1536"/>
      <c r="D60" s="1536"/>
      <c r="E60" s="1536"/>
      <c r="F60" s="1536"/>
      <c r="G60" s="1536"/>
      <c r="H60" s="1536"/>
      <c r="I60" s="1536"/>
      <c r="J60" s="1536"/>
      <c r="K60" s="1536"/>
      <c r="L60" s="1536"/>
      <c r="M60" s="1537"/>
    </row>
    <row r="61" spans="1:13" x14ac:dyDescent="0.25">
      <c r="A61" s="1535"/>
      <c r="B61" s="1536"/>
      <c r="C61" s="1536"/>
      <c r="D61" s="1536"/>
      <c r="E61" s="1536"/>
      <c r="F61" s="1536"/>
      <c r="G61" s="1536"/>
      <c r="H61" s="1536"/>
      <c r="I61" s="1536"/>
      <c r="J61" s="1536"/>
      <c r="K61" s="1536"/>
      <c r="L61" s="1536"/>
      <c r="M61" s="1537"/>
    </row>
    <row r="62" spans="1:13" x14ac:dyDescent="0.25">
      <c r="A62" s="1535"/>
      <c r="B62" s="1536"/>
      <c r="C62" s="1536"/>
      <c r="D62" s="1536"/>
      <c r="E62" s="1536"/>
      <c r="F62" s="1536"/>
      <c r="G62" s="1536"/>
      <c r="H62" s="1536"/>
      <c r="I62" s="1536"/>
      <c r="J62" s="1536"/>
      <c r="K62" s="1536"/>
      <c r="L62" s="1536"/>
      <c r="M62" s="1537"/>
    </row>
    <row r="63" spans="1:13" x14ac:dyDescent="0.25">
      <c r="A63" s="1535"/>
      <c r="B63" s="1536"/>
      <c r="C63" s="1536"/>
      <c r="D63" s="1536"/>
      <c r="E63" s="1536"/>
      <c r="F63" s="1536"/>
      <c r="G63" s="1536"/>
      <c r="H63" s="1536"/>
      <c r="I63" s="1536"/>
      <c r="J63" s="1536"/>
      <c r="K63" s="1536"/>
      <c r="L63" s="1536"/>
      <c r="M63" s="1537"/>
    </row>
    <row r="64" spans="1:13" x14ac:dyDescent="0.25">
      <c r="A64" s="1535"/>
      <c r="B64" s="1536"/>
      <c r="C64" s="1536"/>
      <c r="D64" s="1536"/>
      <c r="E64" s="1536"/>
      <c r="F64" s="1536"/>
      <c r="G64" s="1536"/>
      <c r="H64" s="1536"/>
      <c r="I64" s="1536"/>
      <c r="J64" s="1536"/>
      <c r="K64" s="1536"/>
      <c r="L64" s="1536"/>
      <c r="M64" s="1537"/>
    </row>
    <row r="65" spans="1:13" x14ac:dyDescent="0.25">
      <c r="A65" s="1535"/>
      <c r="B65" s="1536"/>
      <c r="C65" s="1536"/>
      <c r="D65" s="1536"/>
      <c r="E65" s="1536"/>
      <c r="F65" s="1536"/>
      <c r="G65" s="1536"/>
      <c r="H65" s="1536"/>
      <c r="I65" s="1536"/>
      <c r="J65" s="1536"/>
      <c r="K65" s="1536"/>
      <c r="L65" s="1536"/>
      <c r="M65" s="1537"/>
    </row>
    <row r="66" spans="1:13" x14ac:dyDescent="0.25">
      <c r="A66" s="1535"/>
      <c r="B66" s="1536"/>
      <c r="C66" s="1536"/>
      <c r="D66" s="1536"/>
      <c r="E66" s="1536"/>
      <c r="F66" s="1536"/>
      <c r="G66" s="1536"/>
      <c r="H66" s="1536"/>
      <c r="I66" s="1536"/>
      <c r="J66" s="1536"/>
      <c r="K66" s="1536"/>
      <c r="L66" s="1536"/>
      <c r="M66" s="1537"/>
    </row>
    <row r="67" spans="1:13" x14ac:dyDescent="0.25">
      <c r="A67" s="1535"/>
      <c r="B67" s="1536"/>
      <c r="C67" s="1536"/>
      <c r="D67" s="1536"/>
      <c r="E67" s="1536"/>
      <c r="F67" s="1536"/>
      <c r="G67" s="1536"/>
      <c r="H67" s="1536"/>
      <c r="I67" s="1536"/>
      <c r="J67" s="1536"/>
      <c r="K67" s="1536"/>
      <c r="L67" s="1536"/>
      <c r="M67" s="1537"/>
    </row>
    <row r="68" spans="1:13" x14ac:dyDescent="0.25">
      <c r="A68" s="1535"/>
      <c r="B68" s="1536"/>
      <c r="C68" s="1536"/>
      <c r="D68" s="1536"/>
      <c r="E68" s="1536"/>
      <c r="F68" s="1536"/>
      <c r="G68" s="1536"/>
      <c r="H68" s="1536"/>
      <c r="I68" s="1536"/>
      <c r="J68" s="1536"/>
      <c r="K68" s="1536"/>
      <c r="L68" s="1536"/>
      <c r="M68" s="1537"/>
    </row>
    <row r="69" spans="1:13" x14ac:dyDescent="0.25">
      <c r="A69" s="1535"/>
      <c r="B69" s="1536"/>
      <c r="C69" s="1536"/>
      <c r="D69" s="1536"/>
      <c r="E69" s="1536"/>
      <c r="F69" s="1536"/>
      <c r="G69" s="1536"/>
      <c r="H69" s="1536"/>
      <c r="I69" s="1536"/>
      <c r="J69" s="1536"/>
      <c r="K69" s="1536"/>
      <c r="L69" s="1536"/>
      <c r="M69" s="1537"/>
    </row>
    <row r="70" spans="1:13" x14ac:dyDescent="0.25">
      <c r="A70" s="1535"/>
      <c r="B70" s="1536"/>
      <c r="C70" s="1536"/>
      <c r="D70" s="1536"/>
      <c r="E70" s="1536"/>
      <c r="F70" s="1536"/>
      <c r="G70" s="1536"/>
      <c r="H70" s="1536"/>
      <c r="I70" s="1536"/>
      <c r="J70" s="1536"/>
      <c r="K70" s="1536"/>
      <c r="L70" s="1536"/>
      <c r="M70" s="1537"/>
    </row>
    <row r="71" spans="1:13" x14ac:dyDescent="0.25">
      <c r="A71" s="1535"/>
      <c r="B71" s="1536"/>
      <c r="C71" s="1536"/>
      <c r="D71" s="1536"/>
      <c r="E71" s="1536"/>
      <c r="F71" s="1536"/>
      <c r="G71" s="1536"/>
      <c r="H71" s="1536"/>
      <c r="I71" s="1536"/>
      <c r="J71" s="1536"/>
      <c r="K71" s="1536"/>
      <c r="L71" s="1536"/>
      <c r="M71" s="1537"/>
    </row>
    <row r="72" spans="1:13" x14ac:dyDescent="0.25">
      <c r="A72" s="1535"/>
      <c r="B72" s="1536"/>
      <c r="C72" s="1536"/>
      <c r="D72" s="1536"/>
      <c r="E72" s="1536"/>
      <c r="F72" s="1536"/>
      <c r="G72" s="1536"/>
      <c r="H72" s="1536"/>
      <c r="I72" s="1536"/>
      <c r="J72" s="1536"/>
      <c r="K72" s="1536"/>
      <c r="L72" s="1536"/>
      <c r="M72" s="1537"/>
    </row>
    <row r="73" spans="1:13" x14ac:dyDescent="0.25">
      <c r="A73" s="1535"/>
      <c r="B73" s="1536"/>
      <c r="C73" s="1536"/>
      <c r="D73" s="1536"/>
      <c r="E73" s="1536"/>
      <c r="F73" s="1536"/>
      <c r="G73" s="1536"/>
      <c r="H73" s="1536"/>
      <c r="I73" s="1536"/>
      <c r="J73" s="1536"/>
      <c r="K73" s="1536"/>
      <c r="L73" s="1536"/>
      <c r="M73" s="1537"/>
    </row>
    <row r="74" spans="1:13" x14ac:dyDescent="0.25">
      <c r="A74" s="1535"/>
      <c r="B74" s="1536"/>
      <c r="C74" s="1536"/>
      <c r="D74" s="1536"/>
      <c r="E74" s="1536"/>
      <c r="F74" s="1536"/>
      <c r="G74" s="1536"/>
      <c r="H74" s="1536"/>
      <c r="I74" s="1536"/>
      <c r="J74" s="1536"/>
      <c r="K74" s="1536"/>
      <c r="L74" s="1536"/>
      <c r="M74" s="1537"/>
    </row>
    <row r="75" spans="1:13" x14ac:dyDescent="0.25">
      <c r="A75" s="1535"/>
      <c r="B75" s="1536"/>
      <c r="C75" s="1536"/>
      <c r="D75" s="1536"/>
      <c r="E75" s="1536"/>
      <c r="F75" s="1536"/>
      <c r="G75" s="1536"/>
      <c r="H75" s="1536"/>
      <c r="I75" s="1536"/>
      <c r="J75" s="1536"/>
      <c r="K75" s="1536"/>
      <c r="L75" s="1536"/>
      <c r="M75" s="1537"/>
    </row>
    <row r="76" spans="1:13" x14ac:dyDescent="0.25">
      <c r="A76" s="1535"/>
      <c r="B76" s="1536"/>
      <c r="C76" s="1536"/>
      <c r="D76" s="1536"/>
      <c r="E76" s="1536"/>
      <c r="F76" s="1536"/>
      <c r="G76" s="1536"/>
      <c r="H76" s="1536"/>
      <c r="I76" s="1536"/>
      <c r="J76" s="1536"/>
      <c r="K76" s="1536"/>
      <c r="L76" s="1536"/>
      <c r="M76" s="1537"/>
    </row>
    <row r="77" spans="1:13" x14ac:dyDescent="0.25">
      <c r="A77" s="1535"/>
      <c r="B77" s="1536"/>
      <c r="C77" s="1536"/>
      <c r="D77" s="1536"/>
      <c r="E77" s="1536"/>
      <c r="F77" s="1536"/>
      <c r="G77" s="1536"/>
      <c r="H77" s="1536"/>
      <c r="I77" s="1536"/>
      <c r="J77" s="1536"/>
      <c r="K77" s="1536"/>
      <c r="L77" s="1536"/>
      <c r="M77" s="1537"/>
    </row>
    <row r="78" spans="1:13" x14ac:dyDescent="0.25">
      <c r="A78" s="1535"/>
      <c r="B78" s="1536"/>
      <c r="C78" s="1536"/>
      <c r="D78" s="1536"/>
      <c r="E78" s="1536"/>
      <c r="F78" s="1536"/>
      <c r="G78" s="1536"/>
      <c r="H78" s="1536"/>
      <c r="I78" s="1536"/>
      <c r="J78" s="1536"/>
      <c r="K78" s="1536"/>
      <c r="L78" s="1536"/>
      <c r="M78" s="1537"/>
    </row>
    <row r="79" spans="1:13" x14ac:dyDescent="0.25">
      <c r="A79" s="1535"/>
      <c r="B79" s="1536"/>
      <c r="C79" s="1536"/>
      <c r="D79" s="1536"/>
      <c r="E79" s="1536"/>
      <c r="F79" s="1536"/>
      <c r="G79" s="1536"/>
      <c r="H79" s="1536"/>
      <c r="I79" s="1536"/>
      <c r="J79" s="1536"/>
      <c r="K79" s="1536"/>
      <c r="L79" s="1536"/>
      <c r="M79" s="1537"/>
    </row>
    <row r="80" spans="1:13" x14ac:dyDescent="0.25">
      <c r="A80" s="1535"/>
      <c r="B80" s="1536"/>
      <c r="C80" s="1536"/>
      <c r="D80" s="1536"/>
      <c r="E80" s="1536"/>
      <c r="F80" s="1536"/>
      <c r="G80" s="1536"/>
      <c r="H80" s="1536"/>
      <c r="I80" s="1536"/>
      <c r="J80" s="1536"/>
      <c r="K80" s="1536"/>
      <c r="L80" s="1536"/>
      <c r="M80" s="1537"/>
    </row>
    <row r="81" spans="1:13" x14ac:dyDescent="0.25">
      <c r="A81" s="1535"/>
      <c r="B81" s="1536"/>
      <c r="C81" s="1536"/>
      <c r="D81" s="1536"/>
      <c r="E81" s="1536"/>
      <c r="F81" s="1536"/>
      <c r="G81" s="1536"/>
      <c r="H81" s="1536"/>
      <c r="I81" s="1536"/>
      <c r="J81" s="1536"/>
      <c r="K81" s="1536"/>
      <c r="L81" s="1536"/>
      <c r="M81" s="1537"/>
    </row>
    <row r="82" spans="1:13" x14ac:dyDescent="0.25">
      <c r="A82" s="1535"/>
      <c r="B82" s="1536"/>
      <c r="C82" s="1536"/>
      <c r="D82" s="1536"/>
      <c r="E82" s="1536"/>
      <c r="F82" s="1536"/>
      <c r="G82" s="1536"/>
      <c r="H82" s="1536"/>
      <c r="I82" s="1536"/>
      <c r="J82" s="1536"/>
      <c r="K82" s="1536"/>
      <c r="L82" s="1536"/>
      <c r="M82" s="1537"/>
    </row>
    <row r="83" spans="1:13" x14ac:dyDescent="0.25">
      <c r="A83" s="1535"/>
      <c r="B83" s="1536"/>
      <c r="C83" s="1536"/>
      <c r="D83" s="1536"/>
      <c r="E83" s="1536"/>
      <c r="F83" s="1536"/>
      <c r="G83" s="1536"/>
      <c r="H83" s="1536"/>
      <c r="I83" s="1536"/>
      <c r="J83" s="1536"/>
      <c r="K83" s="1536"/>
      <c r="L83" s="1536"/>
      <c r="M83" s="1537"/>
    </row>
    <row r="84" spans="1:13" x14ac:dyDescent="0.25">
      <c r="A84" s="1535"/>
      <c r="B84" s="1536"/>
      <c r="C84" s="1536"/>
      <c r="D84" s="1536"/>
      <c r="E84" s="1536"/>
      <c r="F84" s="1536"/>
      <c r="G84" s="1536"/>
      <c r="H84" s="1536"/>
      <c r="I84" s="1536"/>
      <c r="J84" s="1536"/>
      <c r="K84" s="1536"/>
      <c r="L84" s="1536"/>
      <c r="M84" s="1537"/>
    </row>
    <row r="85" spans="1:13" x14ac:dyDescent="0.25">
      <c r="A85" s="1535"/>
      <c r="B85" s="1536"/>
      <c r="C85" s="1536"/>
      <c r="D85" s="1536"/>
      <c r="E85" s="1536"/>
      <c r="F85" s="1536"/>
      <c r="G85" s="1536"/>
      <c r="H85" s="1536"/>
      <c r="I85" s="1536"/>
      <c r="J85" s="1536"/>
      <c r="K85" s="1536"/>
      <c r="L85" s="1536"/>
      <c r="M85" s="1537"/>
    </row>
    <row r="86" spans="1:13" x14ac:dyDescent="0.25">
      <c r="A86" s="1535"/>
      <c r="B86" s="1536"/>
      <c r="C86" s="1536"/>
      <c r="D86" s="1536"/>
      <c r="E86" s="1536"/>
      <c r="F86" s="1536"/>
      <c r="G86" s="1536"/>
      <c r="H86" s="1536"/>
      <c r="I86" s="1536"/>
      <c r="J86" s="1536"/>
      <c r="K86" s="1536"/>
      <c r="L86" s="1536"/>
      <c r="M86" s="1537"/>
    </row>
    <row r="87" spans="1:13" x14ac:dyDescent="0.25">
      <c r="A87" s="1535"/>
      <c r="B87" s="1536"/>
      <c r="C87" s="1536"/>
      <c r="D87" s="1536"/>
      <c r="E87" s="1536"/>
      <c r="F87" s="1536"/>
      <c r="G87" s="1536"/>
      <c r="H87" s="1536"/>
      <c r="I87" s="1536"/>
      <c r="J87" s="1536"/>
      <c r="K87" s="1536"/>
      <c r="L87" s="1536"/>
      <c r="M87" s="1537"/>
    </row>
    <row r="88" spans="1:13" x14ac:dyDescent="0.25">
      <c r="A88" s="1535"/>
      <c r="B88" s="1536"/>
      <c r="C88" s="1536"/>
      <c r="D88" s="1536"/>
      <c r="E88" s="1536"/>
      <c r="F88" s="1536"/>
      <c r="G88" s="1536"/>
      <c r="H88" s="1536"/>
      <c r="I88" s="1536"/>
      <c r="J88" s="1536"/>
      <c r="K88" s="1536"/>
      <c r="L88" s="1536"/>
      <c r="M88" s="1537"/>
    </row>
    <row r="89" spans="1:13" x14ac:dyDescent="0.25">
      <c r="A89" s="1535"/>
      <c r="B89" s="1536"/>
      <c r="C89" s="1536"/>
      <c r="D89" s="1536"/>
      <c r="E89" s="1536"/>
      <c r="F89" s="1536"/>
      <c r="G89" s="1536"/>
      <c r="H89" s="1536"/>
      <c r="I89" s="1536"/>
      <c r="J89" s="1536"/>
      <c r="K89" s="1536"/>
      <c r="L89" s="1536"/>
      <c r="M89" s="1537"/>
    </row>
    <row r="90" spans="1:13" x14ac:dyDescent="0.25">
      <c r="A90" s="1535"/>
      <c r="B90" s="1536"/>
      <c r="C90" s="1536"/>
      <c r="D90" s="1536"/>
      <c r="E90" s="1536"/>
      <c r="F90" s="1536"/>
      <c r="G90" s="1536"/>
      <c r="H90" s="1536"/>
      <c r="I90" s="1536"/>
      <c r="J90" s="1536"/>
      <c r="K90" s="1536"/>
      <c r="L90" s="1536"/>
      <c r="M90" s="1537"/>
    </row>
    <row r="91" spans="1:13" x14ac:dyDescent="0.25">
      <c r="A91" s="1535"/>
      <c r="B91" s="1536"/>
      <c r="C91" s="1536"/>
      <c r="D91" s="1536"/>
      <c r="E91" s="1536"/>
      <c r="F91" s="1536"/>
      <c r="G91" s="1536"/>
      <c r="H91" s="1536"/>
      <c r="I91" s="1536"/>
      <c r="J91" s="1536"/>
      <c r="K91" s="1536"/>
      <c r="L91" s="1536"/>
      <c r="M91" s="1537"/>
    </row>
    <row r="92" spans="1:13" x14ac:dyDescent="0.25">
      <c r="A92" s="1535"/>
      <c r="B92" s="1536"/>
      <c r="C92" s="1536"/>
      <c r="D92" s="1536"/>
      <c r="E92" s="1536"/>
      <c r="F92" s="1536"/>
      <c r="G92" s="1536"/>
      <c r="H92" s="1536"/>
      <c r="I92" s="1536"/>
      <c r="J92" s="1536"/>
      <c r="K92" s="1536"/>
      <c r="L92" s="1536"/>
      <c r="M92" s="1537"/>
    </row>
    <row r="93" spans="1:13" x14ac:dyDescent="0.25">
      <c r="A93" s="1535"/>
      <c r="B93" s="1536"/>
      <c r="C93" s="1536"/>
      <c r="D93" s="1536"/>
      <c r="E93" s="1536"/>
      <c r="F93" s="1536"/>
      <c r="G93" s="1536"/>
      <c r="H93" s="1536"/>
      <c r="I93" s="1536"/>
      <c r="J93" s="1536"/>
      <c r="K93" s="1536"/>
      <c r="L93" s="1536"/>
      <c r="M93" s="1537"/>
    </row>
    <row r="94" spans="1:13" x14ac:dyDescent="0.25">
      <c r="A94" s="1535"/>
      <c r="B94" s="1536"/>
      <c r="C94" s="1536"/>
      <c r="D94" s="1536"/>
      <c r="E94" s="1536"/>
      <c r="F94" s="1536"/>
      <c r="G94" s="1536"/>
      <c r="H94" s="1536"/>
      <c r="I94" s="1536"/>
      <c r="J94" s="1536"/>
      <c r="K94" s="1536"/>
      <c r="L94" s="1536"/>
      <c r="M94" s="1537"/>
    </row>
    <row r="95" spans="1:13" x14ac:dyDescent="0.25">
      <c r="A95" s="1535"/>
      <c r="B95" s="1536"/>
      <c r="C95" s="1536"/>
      <c r="D95" s="1536"/>
      <c r="E95" s="1536"/>
      <c r="F95" s="1536"/>
      <c r="G95" s="1536"/>
      <c r="H95" s="1536"/>
      <c r="I95" s="1536"/>
      <c r="J95" s="1536"/>
      <c r="K95" s="1536"/>
      <c r="L95" s="1536"/>
      <c r="M95" s="1537"/>
    </row>
    <row r="96" spans="1:13" x14ac:dyDescent="0.25">
      <c r="A96" s="1535"/>
      <c r="B96" s="1536"/>
      <c r="C96" s="1536"/>
      <c r="D96" s="1536"/>
      <c r="E96" s="1536"/>
      <c r="F96" s="1536"/>
      <c r="G96" s="1536"/>
      <c r="H96" s="1536"/>
      <c r="I96" s="1536"/>
      <c r="J96" s="1536"/>
      <c r="K96" s="1536"/>
      <c r="L96" s="1536"/>
      <c r="M96" s="1537"/>
    </row>
    <row r="97" spans="1:15" x14ac:dyDescent="0.25">
      <c r="A97" s="1535"/>
      <c r="B97" s="1536"/>
      <c r="C97" s="1536"/>
      <c r="D97" s="1536"/>
      <c r="E97" s="1536"/>
      <c r="F97" s="1536"/>
      <c r="G97" s="1536"/>
      <c r="H97" s="1536"/>
      <c r="I97" s="1536"/>
      <c r="J97" s="1536"/>
      <c r="K97" s="1536"/>
      <c r="L97" s="1536"/>
      <c r="M97" s="1537"/>
    </row>
    <row r="98" spans="1:15" x14ac:dyDescent="0.25">
      <c r="A98" s="1535"/>
      <c r="B98" s="1536"/>
      <c r="C98" s="1536"/>
      <c r="D98" s="1536"/>
      <c r="E98" s="1536"/>
      <c r="F98" s="1536"/>
      <c r="G98" s="1536"/>
      <c r="H98" s="1536"/>
      <c r="I98" s="1536"/>
      <c r="J98" s="1536"/>
      <c r="K98" s="1536"/>
      <c r="L98" s="1536"/>
      <c r="M98" s="1537"/>
    </row>
    <row r="99" spans="1:15" ht="15.6" thickBot="1" x14ac:dyDescent="0.3">
      <c r="A99" s="1538"/>
      <c r="B99" s="1539"/>
      <c r="C99" s="1539"/>
      <c r="D99" s="1539"/>
      <c r="E99" s="1539"/>
      <c r="F99" s="1539"/>
      <c r="G99" s="1539"/>
      <c r="H99" s="1539"/>
      <c r="I99" s="1539"/>
      <c r="J99" s="1539"/>
      <c r="K99" s="1539"/>
      <c r="L99" s="1539"/>
      <c r="M99" s="1540"/>
    </row>
    <row r="100" spans="1:15" ht="20.399999999999999" x14ac:dyDescent="0.35">
      <c r="A100" s="771"/>
    </row>
    <row r="103" spans="1:15" x14ac:dyDescent="0.25">
      <c r="O103" s="249"/>
    </row>
  </sheetData>
  <sheetProtection selectLockedCells="1"/>
  <mergeCells count="9">
    <mergeCell ref="A27:M40"/>
    <mergeCell ref="A41:M41"/>
    <mergeCell ref="A43:M99"/>
    <mergeCell ref="A1:M1"/>
    <mergeCell ref="A2:M2"/>
    <mergeCell ref="A3:M3"/>
    <mergeCell ref="A4:M4"/>
    <mergeCell ref="A16:M16"/>
    <mergeCell ref="A23:L23"/>
  </mergeCells>
  <dataValidations count="1">
    <dataValidation type="list" allowBlank="1" showInputMessage="1" showErrorMessage="1" sqref="M23" xr:uid="{00000000-0002-0000-0800-000000000000}">
      <formula1>$M$20:$M$22</formula1>
    </dataValidation>
  </dataValidations>
  <printOptions horizontalCentered="1"/>
  <pageMargins left="0.25" right="0.25" top="0.5" bottom="0.25" header="0.5" footer="0.5"/>
  <pageSetup scale="87"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02" r:id="rId4" name="Button 2">
              <controlPr defaultSize="0" print="0" autoFill="0" autoPict="0" macro="[0]!GoSheetBack">
                <anchor moveWithCells="1" sizeWithCells="1">
                  <from>
                    <xdr:col>14</xdr:col>
                    <xdr:colOff>480060</xdr:colOff>
                    <xdr:row>33</xdr:row>
                    <xdr:rowOff>38100</xdr:rowOff>
                  </from>
                  <to>
                    <xdr:col>16</xdr:col>
                    <xdr:colOff>213360</xdr:colOff>
                    <xdr:row>34</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dimension ref="A1:K65"/>
  <sheetViews>
    <sheetView showGridLines="0" zoomScale="110" zoomScaleNormal="110" zoomScaleSheetLayoutView="100" workbookViewId="0">
      <selection activeCell="A30" sqref="A30"/>
    </sheetView>
  </sheetViews>
  <sheetFormatPr defaultColWidth="9.109375" defaultRowHeight="12.6" x14ac:dyDescent="0.25"/>
  <cols>
    <col min="1" max="1" width="9.109375" style="729"/>
    <col min="2" max="2" width="2.6640625" style="729" customWidth="1"/>
    <col min="3" max="9" width="9.109375" style="729"/>
    <col min="10" max="10" width="14.5546875" style="729" customWidth="1"/>
    <col min="11" max="16384" width="9.109375" style="729"/>
  </cols>
  <sheetData>
    <row r="1" spans="1:11" ht="13.2" x14ac:dyDescent="0.25">
      <c r="A1" s="305" t="s">
        <v>588</v>
      </c>
      <c r="B1" s="305"/>
      <c r="C1" s="772"/>
      <c r="D1" s="772"/>
      <c r="E1" s="772"/>
      <c r="F1" s="772"/>
      <c r="G1" s="772"/>
      <c r="H1" s="772"/>
      <c r="I1" s="772"/>
      <c r="J1" s="772"/>
      <c r="K1" s="773" t="str">
        <f>'Project Information'!D4</f>
        <v>Project Name</v>
      </c>
    </row>
    <row r="2" spans="1:11" ht="17.399999999999999" x14ac:dyDescent="0.3">
      <c r="A2" s="1545" t="s">
        <v>882</v>
      </c>
      <c r="B2" s="1546"/>
      <c r="C2" s="1546"/>
      <c r="D2" s="1546"/>
      <c r="E2" s="1546"/>
      <c r="F2" s="1546"/>
      <c r="G2" s="1546"/>
      <c r="H2" s="1546"/>
      <c r="I2" s="1546"/>
      <c r="J2" s="1546"/>
      <c r="K2" s="1547"/>
    </row>
    <row r="3" spans="1:11" x14ac:dyDescent="0.25">
      <c r="A3" s="774"/>
      <c r="B3" s="710"/>
      <c r="C3" s="710"/>
      <c r="D3" s="710"/>
      <c r="E3" s="710"/>
      <c r="F3" s="710"/>
      <c r="G3" s="710"/>
      <c r="H3" s="710"/>
      <c r="I3" s="710"/>
      <c r="J3" s="710"/>
      <c r="K3" s="775"/>
    </row>
    <row r="4" spans="1:11" x14ac:dyDescent="0.25">
      <c r="A4" s="774"/>
      <c r="B4" s="710"/>
      <c r="C4" s="710"/>
      <c r="D4" s="710"/>
      <c r="E4" s="710"/>
      <c r="F4" s="710"/>
      <c r="G4" s="710"/>
      <c r="H4" s="710"/>
      <c r="I4" s="710"/>
      <c r="J4" s="710"/>
      <c r="K4" s="775"/>
    </row>
    <row r="5" spans="1:11" s="779" customFormat="1" ht="15.6" x14ac:dyDescent="0.3">
      <c r="A5" s="776" t="s">
        <v>980</v>
      </c>
      <c r="B5" s="695"/>
      <c r="C5" s="777"/>
      <c r="D5" s="777"/>
      <c r="E5" s="777"/>
      <c r="F5" s="777"/>
      <c r="G5" s="777"/>
      <c r="H5" s="777"/>
      <c r="I5" s="777"/>
      <c r="J5" s="777"/>
      <c r="K5" s="778"/>
    </row>
    <row r="6" spans="1:11" s="779" customFormat="1" ht="15.6" x14ac:dyDescent="0.3">
      <c r="A6" s="916" t="s">
        <v>979</v>
      </c>
      <c r="B6" s="695"/>
      <c r="C6" s="777"/>
      <c r="D6" s="777"/>
      <c r="E6" s="777"/>
      <c r="F6" s="777"/>
      <c r="G6" s="777"/>
      <c r="H6" s="777"/>
      <c r="I6" s="777"/>
      <c r="J6" s="777"/>
      <c r="K6" s="778"/>
    </row>
    <row r="7" spans="1:11" s="779" customFormat="1" ht="15.6" x14ac:dyDescent="0.3">
      <c r="A7" s="776"/>
      <c r="B7" s="695"/>
      <c r="C7" s="777"/>
      <c r="D7" s="777"/>
      <c r="E7" s="777"/>
      <c r="F7" s="777"/>
      <c r="G7" s="777"/>
      <c r="H7" s="777"/>
      <c r="I7" s="777"/>
      <c r="J7" s="777"/>
      <c r="K7" s="778"/>
    </row>
    <row r="8" spans="1:11" s="779" customFormat="1" ht="12" customHeight="1" thickBot="1" x14ac:dyDescent="0.35">
      <c r="A8" s="776"/>
      <c r="B8" s="695"/>
      <c r="C8" s="777"/>
      <c r="D8" s="777"/>
      <c r="E8" s="777"/>
      <c r="F8" s="777"/>
      <c r="G8" s="777"/>
      <c r="H8" s="777"/>
      <c r="I8" s="777"/>
      <c r="J8" s="777"/>
      <c r="K8" s="778"/>
    </row>
    <row r="9" spans="1:11" s="779" customFormat="1" ht="12" hidden="1" customHeight="1" x14ac:dyDescent="0.3">
      <c r="A9" s="915" t="s">
        <v>978</v>
      </c>
      <c r="B9" s="695"/>
      <c r="C9" s="777"/>
      <c r="D9" s="777"/>
      <c r="E9" s="777"/>
      <c r="F9" s="777"/>
      <c r="G9" s="777"/>
      <c r="H9" s="777"/>
      <c r="I9" s="777"/>
      <c r="J9" s="777"/>
      <c r="K9" s="778"/>
    </row>
    <row r="10" spans="1:11" s="779" customFormat="1" ht="12" hidden="1" customHeight="1" x14ac:dyDescent="0.3">
      <c r="A10" s="915" t="s">
        <v>491</v>
      </c>
      <c r="B10" s="695"/>
      <c r="C10" s="777"/>
      <c r="D10" s="777"/>
      <c r="E10" s="777"/>
      <c r="F10" s="777"/>
      <c r="G10" s="777"/>
      <c r="H10" s="777"/>
      <c r="I10" s="777"/>
      <c r="J10" s="777"/>
      <c r="K10" s="778"/>
    </row>
    <row r="11" spans="1:11" s="779" customFormat="1" ht="12" hidden="1" customHeight="1" thickBot="1" x14ac:dyDescent="0.25">
      <c r="A11" s="915" t="s">
        <v>493</v>
      </c>
      <c r="B11" s="777"/>
      <c r="C11" s="777"/>
      <c r="D11" s="777"/>
      <c r="E11" s="777"/>
      <c r="F11" s="777"/>
      <c r="G11" s="777"/>
      <c r="H11" s="777"/>
      <c r="I11" s="777"/>
      <c r="J11" s="777"/>
      <c r="K11" s="778"/>
    </row>
    <row r="12" spans="1:11" s="779" customFormat="1" ht="11.4" thickBot="1" x14ac:dyDescent="0.25">
      <c r="A12" s="279" t="s">
        <v>978</v>
      </c>
      <c r="B12" s="777"/>
      <c r="C12" s="777" t="s">
        <v>883</v>
      </c>
      <c r="D12" s="777"/>
      <c r="E12" s="777"/>
      <c r="F12" s="777"/>
      <c r="G12" s="777"/>
      <c r="H12" s="777"/>
      <c r="I12" s="777"/>
      <c r="J12" s="777"/>
      <c r="K12" s="778"/>
    </row>
    <row r="13" spans="1:11" s="779" customFormat="1" ht="10.8" x14ac:dyDescent="0.2">
      <c r="A13" s="781"/>
      <c r="C13" s="782" t="s">
        <v>884</v>
      </c>
      <c r="D13" s="777"/>
      <c r="E13" s="777"/>
      <c r="F13" s="777"/>
      <c r="G13" s="777"/>
      <c r="H13" s="777"/>
      <c r="I13" s="777"/>
      <c r="J13" s="777"/>
      <c r="K13" s="778"/>
    </row>
    <row r="14" spans="1:11" s="779" customFormat="1" ht="10.8" x14ac:dyDescent="0.2">
      <c r="A14" s="781"/>
      <c r="C14" s="782" t="s">
        <v>885</v>
      </c>
      <c r="D14" s="777"/>
      <c r="E14" s="777"/>
      <c r="F14" s="777"/>
      <c r="G14" s="777"/>
      <c r="H14" s="777"/>
      <c r="I14" s="777"/>
      <c r="J14" s="777"/>
      <c r="K14" s="778"/>
    </row>
    <row r="15" spans="1:11" s="779" customFormat="1" ht="10.8" x14ac:dyDescent="0.2">
      <c r="A15" s="781"/>
      <c r="C15" s="783" t="s">
        <v>886</v>
      </c>
      <c r="D15" s="777"/>
      <c r="E15" s="777"/>
      <c r="F15" s="777"/>
      <c r="G15" s="777"/>
      <c r="H15" s="777"/>
      <c r="I15" s="777"/>
      <c r="J15" s="777"/>
      <c r="K15" s="778"/>
    </row>
    <row r="16" spans="1:11" s="779" customFormat="1" ht="10.8" x14ac:dyDescent="0.2">
      <c r="A16" s="781"/>
      <c r="C16" s="783" t="s">
        <v>887</v>
      </c>
      <c r="D16" s="777"/>
      <c r="E16" s="777"/>
      <c r="F16" s="777"/>
      <c r="G16" s="777"/>
      <c r="H16" s="777"/>
      <c r="I16" s="777"/>
      <c r="J16" s="777"/>
      <c r="K16" s="778"/>
    </row>
    <row r="17" spans="1:11" s="779" customFormat="1" ht="10.8" x14ac:dyDescent="0.2">
      <c r="A17" s="781"/>
      <c r="C17" s="782" t="s">
        <v>888</v>
      </c>
      <c r="D17" s="777"/>
      <c r="E17" s="777"/>
      <c r="F17" s="777"/>
      <c r="G17" s="777"/>
      <c r="H17" s="777"/>
      <c r="I17" s="777"/>
      <c r="J17" s="777"/>
      <c r="K17" s="778"/>
    </row>
    <row r="18" spans="1:11" s="779" customFormat="1" ht="10.8" x14ac:dyDescent="0.2">
      <c r="A18" s="781"/>
      <c r="C18" s="782"/>
      <c r="D18" s="777"/>
      <c r="E18" s="777"/>
      <c r="F18" s="777"/>
      <c r="G18" s="777"/>
      <c r="H18" s="777"/>
      <c r="I18" s="777"/>
      <c r="J18" s="777"/>
      <c r="K18" s="778"/>
    </row>
    <row r="19" spans="1:11" s="779" customFormat="1" ht="11.4" thickBot="1" x14ac:dyDescent="0.25">
      <c r="A19" s="780"/>
      <c r="B19" s="777"/>
      <c r="C19" s="777"/>
      <c r="D19" s="777"/>
      <c r="E19" s="777"/>
      <c r="F19" s="777"/>
      <c r="G19" s="777"/>
      <c r="H19" s="777"/>
      <c r="I19" s="777"/>
      <c r="J19" s="777"/>
      <c r="K19" s="778"/>
    </row>
    <row r="20" spans="1:11" s="779" customFormat="1" ht="11.4" thickBot="1" x14ac:dyDescent="0.25">
      <c r="A20" s="279" t="s">
        <v>978</v>
      </c>
      <c r="B20" s="914"/>
      <c r="C20" s="777" t="s">
        <v>883</v>
      </c>
      <c r="D20" s="777"/>
      <c r="E20" s="777"/>
      <c r="F20" s="777"/>
      <c r="G20" s="777"/>
      <c r="H20" s="777"/>
      <c r="I20" s="777"/>
      <c r="J20" s="777"/>
      <c r="K20" s="778"/>
    </row>
    <row r="21" spans="1:11" s="779" customFormat="1" ht="10.8" x14ac:dyDescent="0.2">
      <c r="A21" s="781"/>
      <c r="C21" s="782" t="s">
        <v>889</v>
      </c>
      <c r="D21" s="777"/>
      <c r="E21" s="777"/>
      <c r="F21" s="777"/>
      <c r="G21" s="777"/>
      <c r="H21" s="777"/>
      <c r="I21" s="777"/>
      <c r="J21" s="777"/>
      <c r="K21" s="778"/>
    </row>
    <row r="22" spans="1:11" s="779" customFormat="1" ht="10.8" x14ac:dyDescent="0.2">
      <c r="A22" s="781"/>
      <c r="C22" s="782" t="s">
        <v>890</v>
      </c>
      <c r="D22" s="777"/>
      <c r="E22" s="777"/>
      <c r="F22" s="777"/>
      <c r="G22" s="777"/>
      <c r="H22" s="777"/>
      <c r="I22" s="777"/>
      <c r="J22" s="777"/>
      <c r="K22" s="778"/>
    </row>
    <row r="23" spans="1:11" s="779" customFormat="1" ht="10.8" x14ac:dyDescent="0.2">
      <c r="A23" s="781"/>
      <c r="C23" s="784" t="s">
        <v>891</v>
      </c>
      <c r="D23" s="777"/>
      <c r="E23" s="777"/>
      <c r="F23" s="777"/>
      <c r="G23" s="777"/>
      <c r="H23" s="777"/>
      <c r="I23" s="777"/>
      <c r="J23" s="777"/>
      <c r="K23" s="778"/>
    </row>
    <row r="24" spans="1:11" s="779" customFormat="1" ht="10.8" x14ac:dyDescent="0.2">
      <c r="A24" s="781"/>
      <c r="C24" s="782" t="s">
        <v>892</v>
      </c>
      <c r="D24" s="777"/>
      <c r="E24" s="777"/>
      <c r="F24" s="777"/>
      <c r="G24" s="777"/>
      <c r="H24" s="777"/>
      <c r="I24" s="777"/>
      <c r="J24" s="777"/>
      <c r="K24" s="778"/>
    </row>
    <row r="25" spans="1:11" s="779" customFormat="1" ht="10.8" x14ac:dyDescent="0.2">
      <c r="A25" s="780"/>
      <c r="B25" s="777"/>
      <c r="C25" s="777" t="s">
        <v>893</v>
      </c>
      <c r="D25" s="777"/>
      <c r="E25" s="777"/>
      <c r="F25" s="777"/>
      <c r="G25" s="777"/>
      <c r="H25" s="777"/>
      <c r="I25" s="777"/>
      <c r="J25" s="777"/>
      <c r="K25" s="778"/>
    </row>
    <row r="26" spans="1:11" s="779" customFormat="1" ht="10.8" x14ac:dyDescent="0.2">
      <c r="A26" s="780"/>
      <c r="B26" s="777"/>
      <c r="C26" s="777" t="s">
        <v>894</v>
      </c>
      <c r="D26" s="777"/>
      <c r="E26" s="777"/>
      <c r="F26" s="777"/>
      <c r="G26" s="777"/>
      <c r="H26" s="777"/>
      <c r="I26" s="777"/>
      <c r="J26" s="777"/>
      <c r="K26" s="778"/>
    </row>
    <row r="27" spans="1:11" s="779" customFormat="1" ht="10.8" x14ac:dyDescent="0.2">
      <c r="A27" s="780"/>
      <c r="B27" s="777"/>
      <c r="C27" s="777" t="s">
        <v>895</v>
      </c>
      <c r="D27" s="777"/>
      <c r="E27" s="777"/>
      <c r="F27" s="777"/>
      <c r="G27" s="777"/>
      <c r="H27" s="777"/>
      <c r="I27" s="777"/>
      <c r="J27" s="777"/>
      <c r="K27" s="778"/>
    </row>
    <row r="28" spans="1:11" s="779" customFormat="1" ht="10.8" x14ac:dyDescent="0.2">
      <c r="A28" s="780"/>
      <c r="B28" s="777"/>
      <c r="C28" s="777"/>
      <c r="D28" s="777"/>
      <c r="E28" s="777"/>
      <c r="F28" s="777"/>
      <c r="G28" s="777"/>
      <c r="H28" s="777"/>
      <c r="I28" s="777"/>
      <c r="J28" s="777"/>
      <c r="K28" s="778"/>
    </row>
    <row r="29" spans="1:11" s="779" customFormat="1" ht="11.4" thickBot="1" x14ac:dyDescent="0.25">
      <c r="A29" s="780"/>
      <c r="B29" s="777"/>
      <c r="C29" s="777"/>
      <c r="D29" s="777"/>
      <c r="E29" s="777"/>
      <c r="F29" s="777"/>
      <c r="G29" s="777"/>
      <c r="H29" s="777"/>
      <c r="I29" s="777"/>
      <c r="J29" s="777"/>
      <c r="K29" s="778"/>
    </row>
    <row r="30" spans="1:11" s="779" customFormat="1" ht="11.4" thickBot="1" x14ac:dyDescent="0.25">
      <c r="A30" s="279" t="s">
        <v>978</v>
      </c>
      <c r="B30" s="914"/>
      <c r="C30" s="777" t="s">
        <v>896</v>
      </c>
      <c r="D30" s="777"/>
      <c r="E30" s="777"/>
      <c r="F30" s="777"/>
      <c r="G30" s="777"/>
      <c r="H30" s="777"/>
      <c r="I30" s="777"/>
      <c r="J30" s="777"/>
      <c r="K30" s="778"/>
    </row>
    <row r="31" spans="1:11" ht="13.2" x14ac:dyDescent="0.25">
      <c r="A31" s="785"/>
      <c r="B31" s="302"/>
      <c r="C31" s="302"/>
      <c r="D31" s="302"/>
      <c r="E31" s="710"/>
      <c r="F31" s="710"/>
      <c r="G31" s="710"/>
      <c r="H31" s="710"/>
      <c r="I31" s="710"/>
      <c r="J31" s="710"/>
      <c r="K31" s="775"/>
    </row>
    <row r="32" spans="1:11" x14ac:dyDescent="0.25">
      <c r="A32" s="774"/>
      <c r="B32" s="710"/>
      <c r="C32" s="710"/>
      <c r="D32" s="710"/>
      <c r="E32" s="710"/>
      <c r="F32" s="710"/>
      <c r="G32" s="710"/>
      <c r="H32" s="710"/>
      <c r="I32" s="786"/>
      <c r="J32" s="710"/>
      <c r="K32" s="787"/>
    </row>
    <row r="33" spans="1:11" s="248" customFormat="1" ht="24" customHeight="1" x14ac:dyDescent="0.25">
      <c r="A33" s="788"/>
      <c r="B33" s="243"/>
      <c r="C33" s="243"/>
      <c r="D33" s="243"/>
      <c r="E33" s="243"/>
      <c r="F33" s="243"/>
      <c r="G33" s="243"/>
      <c r="H33" s="243"/>
      <c r="I33" s="243"/>
      <c r="J33" s="243"/>
      <c r="K33" s="789"/>
    </row>
    <row r="34" spans="1:11" x14ac:dyDescent="0.25">
      <c r="A34" s="774"/>
      <c r="B34" s="710"/>
      <c r="C34" s="710"/>
      <c r="D34" s="710"/>
      <c r="E34" s="710"/>
      <c r="F34" s="710"/>
      <c r="G34" s="710"/>
      <c r="H34" s="710"/>
      <c r="I34" s="710"/>
      <c r="J34" s="710"/>
      <c r="K34" s="775"/>
    </row>
    <row r="35" spans="1:11" ht="13.2" thickBot="1" x14ac:dyDescent="0.3">
      <c r="A35" s="790"/>
      <c r="B35" s="791"/>
      <c r="C35" s="791"/>
      <c r="D35" s="791"/>
      <c r="E35" s="791"/>
      <c r="F35" s="791"/>
      <c r="G35" s="791"/>
      <c r="H35" s="791"/>
      <c r="I35" s="791"/>
      <c r="J35" s="791"/>
      <c r="K35" s="792"/>
    </row>
    <row r="36" spans="1:11" ht="12.75" customHeight="1" x14ac:dyDescent="0.25">
      <c r="A36" s="1532"/>
      <c r="B36" s="1533"/>
      <c r="C36" s="1533"/>
      <c r="D36" s="1533"/>
      <c r="E36" s="1533"/>
      <c r="F36" s="1533"/>
      <c r="G36" s="1533"/>
      <c r="H36" s="1533"/>
      <c r="I36" s="1533"/>
      <c r="J36" s="1533"/>
      <c r="K36" s="1534"/>
    </row>
    <row r="37" spans="1:11" ht="12.75" customHeight="1" x14ac:dyDescent="0.25">
      <c r="A37" s="1535"/>
      <c r="B37" s="1536"/>
      <c r="C37" s="1536"/>
      <c r="D37" s="1536"/>
      <c r="E37" s="1536"/>
      <c r="F37" s="1536"/>
      <c r="G37" s="1536"/>
      <c r="H37" s="1536"/>
      <c r="I37" s="1536"/>
      <c r="J37" s="1536"/>
      <c r="K37" s="1537"/>
    </row>
    <row r="38" spans="1:11" ht="12.75" customHeight="1" x14ac:dyDescent="0.25">
      <c r="A38" s="1535"/>
      <c r="B38" s="1536"/>
      <c r="C38" s="1536"/>
      <c r="D38" s="1536"/>
      <c r="E38" s="1536"/>
      <c r="F38" s="1536"/>
      <c r="G38" s="1536"/>
      <c r="H38" s="1536"/>
      <c r="I38" s="1536"/>
      <c r="J38" s="1536"/>
      <c r="K38" s="1537"/>
    </row>
    <row r="39" spans="1:11" ht="12.75" customHeight="1" x14ac:dyDescent="0.25">
      <c r="A39" s="1535"/>
      <c r="B39" s="1536"/>
      <c r="C39" s="1536"/>
      <c r="D39" s="1536"/>
      <c r="E39" s="1536"/>
      <c r="F39" s="1536"/>
      <c r="G39" s="1536"/>
      <c r="H39" s="1536"/>
      <c r="I39" s="1536"/>
      <c r="J39" s="1536"/>
      <c r="K39" s="1537"/>
    </row>
    <row r="40" spans="1:11" ht="12.75" customHeight="1" x14ac:dyDescent="0.25">
      <c r="A40" s="1535"/>
      <c r="B40" s="1536"/>
      <c r="C40" s="1536"/>
      <c r="D40" s="1536"/>
      <c r="E40" s="1536"/>
      <c r="F40" s="1536"/>
      <c r="G40" s="1536"/>
      <c r="H40" s="1536"/>
      <c r="I40" s="1536"/>
      <c r="J40" s="1536"/>
      <c r="K40" s="1537"/>
    </row>
    <row r="41" spans="1:11" ht="12.75" customHeight="1" x14ac:dyDescent="0.25">
      <c r="A41" s="1535"/>
      <c r="B41" s="1536"/>
      <c r="C41" s="1536"/>
      <c r="D41" s="1536"/>
      <c r="E41" s="1536"/>
      <c r="F41" s="1536"/>
      <c r="G41" s="1536"/>
      <c r="H41" s="1536"/>
      <c r="I41" s="1536"/>
      <c r="J41" s="1536"/>
      <c r="K41" s="1537"/>
    </row>
    <row r="42" spans="1:11" ht="12.75" customHeight="1" x14ac:dyDescent="0.25">
      <c r="A42" s="1535"/>
      <c r="B42" s="1536"/>
      <c r="C42" s="1536"/>
      <c r="D42" s="1536"/>
      <c r="E42" s="1536"/>
      <c r="F42" s="1536"/>
      <c r="G42" s="1536"/>
      <c r="H42" s="1536"/>
      <c r="I42" s="1536"/>
      <c r="J42" s="1536"/>
      <c r="K42" s="1537"/>
    </row>
    <row r="43" spans="1:11" ht="12.75" customHeight="1" x14ac:dyDescent="0.25">
      <c r="A43" s="1535"/>
      <c r="B43" s="1536"/>
      <c r="C43" s="1536"/>
      <c r="D43" s="1536"/>
      <c r="E43" s="1536"/>
      <c r="F43" s="1536"/>
      <c r="G43" s="1536"/>
      <c r="H43" s="1536"/>
      <c r="I43" s="1536"/>
      <c r="J43" s="1536"/>
      <c r="K43" s="1537"/>
    </row>
    <row r="44" spans="1:11" ht="12.75" customHeight="1" x14ac:dyDescent="0.25">
      <c r="A44" s="1535"/>
      <c r="B44" s="1536"/>
      <c r="C44" s="1536"/>
      <c r="D44" s="1536"/>
      <c r="E44" s="1536"/>
      <c r="F44" s="1536"/>
      <c r="G44" s="1536"/>
      <c r="H44" s="1536"/>
      <c r="I44" s="1536"/>
      <c r="J44" s="1536"/>
      <c r="K44" s="1537"/>
    </row>
    <row r="45" spans="1:11" ht="12.75" customHeight="1" x14ac:dyDescent="0.25">
      <c r="A45" s="1535"/>
      <c r="B45" s="1536"/>
      <c r="C45" s="1536"/>
      <c r="D45" s="1536"/>
      <c r="E45" s="1536"/>
      <c r="F45" s="1536"/>
      <c r="G45" s="1536"/>
      <c r="H45" s="1536"/>
      <c r="I45" s="1536"/>
      <c r="J45" s="1536"/>
      <c r="K45" s="1537"/>
    </row>
    <row r="46" spans="1:11" ht="12.75" customHeight="1" x14ac:dyDescent="0.25">
      <c r="A46" s="1535"/>
      <c r="B46" s="1536"/>
      <c r="C46" s="1536"/>
      <c r="D46" s="1536"/>
      <c r="E46" s="1536"/>
      <c r="F46" s="1536"/>
      <c r="G46" s="1536"/>
      <c r="H46" s="1536"/>
      <c r="I46" s="1536"/>
      <c r="J46" s="1536"/>
      <c r="K46" s="1537"/>
    </row>
    <row r="47" spans="1:11" ht="12.75" customHeight="1" x14ac:dyDescent="0.25">
      <c r="A47" s="1535"/>
      <c r="B47" s="1536"/>
      <c r="C47" s="1536"/>
      <c r="D47" s="1536"/>
      <c r="E47" s="1536"/>
      <c r="F47" s="1536"/>
      <c r="G47" s="1536"/>
      <c r="H47" s="1536"/>
      <c r="I47" s="1536"/>
      <c r="J47" s="1536"/>
      <c r="K47" s="1537"/>
    </row>
    <row r="48" spans="1:11" ht="12.75" customHeight="1" x14ac:dyDescent="0.25">
      <c r="A48" s="1535"/>
      <c r="B48" s="1536"/>
      <c r="C48" s="1536"/>
      <c r="D48" s="1536"/>
      <c r="E48" s="1536"/>
      <c r="F48" s="1536"/>
      <c r="G48" s="1536"/>
      <c r="H48" s="1536"/>
      <c r="I48" s="1536"/>
      <c r="J48" s="1536"/>
      <c r="K48" s="1537"/>
    </row>
    <row r="49" spans="1:11" ht="12.75" customHeight="1" x14ac:dyDescent="0.25">
      <c r="A49" s="1535"/>
      <c r="B49" s="1536"/>
      <c r="C49" s="1536"/>
      <c r="D49" s="1536"/>
      <c r="E49" s="1536"/>
      <c r="F49" s="1536"/>
      <c r="G49" s="1536"/>
      <c r="H49" s="1536"/>
      <c r="I49" s="1536"/>
      <c r="J49" s="1536"/>
      <c r="K49" s="1537"/>
    </row>
    <row r="50" spans="1:11" ht="12.75" customHeight="1" x14ac:dyDescent="0.25">
      <c r="A50" s="1535"/>
      <c r="B50" s="1536"/>
      <c r="C50" s="1536"/>
      <c r="D50" s="1536"/>
      <c r="E50" s="1536"/>
      <c r="F50" s="1536"/>
      <c r="G50" s="1536"/>
      <c r="H50" s="1536"/>
      <c r="I50" s="1536"/>
      <c r="J50" s="1536"/>
      <c r="K50" s="1537"/>
    </row>
    <row r="51" spans="1:11" ht="12.75" customHeight="1" x14ac:dyDescent="0.25">
      <c r="A51" s="1535"/>
      <c r="B51" s="1536"/>
      <c r="C51" s="1536"/>
      <c r="D51" s="1536"/>
      <c r="E51" s="1536"/>
      <c r="F51" s="1536"/>
      <c r="G51" s="1536"/>
      <c r="H51" s="1536"/>
      <c r="I51" s="1536"/>
      <c r="J51" s="1536"/>
      <c r="K51" s="1537"/>
    </row>
    <row r="52" spans="1:11" ht="12.75" customHeight="1" x14ac:dyDescent="0.25">
      <c r="A52" s="1535"/>
      <c r="B52" s="1536"/>
      <c r="C52" s="1536"/>
      <c r="D52" s="1536"/>
      <c r="E52" s="1536"/>
      <c r="F52" s="1536"/>
      <c r="G52" s="1536"/>
      <c r="H52" s="1536"/>
      <c r="I52" s="1536"/>
      <c r="J52" s="1536"/>
      <c r="K52" s="1537"/>
    </row>
    <row r="53" spans="1:11" ht="12.75" customHeight="1" x14ac:dyDescent="0.25">
      <c r="A53" s="1535"/>
      <c r="B53" s="1536"/>
      <c r="C53" s="1536"/>
      <c r="D53" s="1536"/>
      <c r="E53" s="1536"/>
      <c r="F53" s="1536"/>
      <c r="G53" s="1536"/>
      <c r="H53" s="1536"/>
      <c r="I53" s="1536"/>
      <c r="J53" s="1536"/>
      <c r="K53" s="1537"/>
    </row>
    <row r="54" spans="1:11" ht="12.75" customHeight="1" x14ac:dyDescent="0.25">
      <c r="A54" s="1535"/>
      <c r="B54" s="1536"/>
      <c r="C54" s="1536"/>
      <c r="D54" s="1536"/>
      <c r="E54" s="1536"/>
      <c r="F54" s="1536"/>
      <c r="G54" s="1536"/>
      <c r="H54" s="1536"/>
      <c r="I54" s="1536"/>
      <c r="J54" s="1536"/>
      <c r="K54" s="1537"/>
    </row>
    <row r="55" spans="1:11" ht="12.75" customHeight="1" x14ac:dyDescent="0.25">
      <c r="A55" s="1535"/>
      <c r="B55" s="1536"/>
      <c r="C55" s="1536"/>
      <c r="D55" s="1536"/>
      <c r="E55" s="1536"/>
      <c r="F55" s="1536"/>
      <c r="G55" s="1536"/>
      <c r="H55" s="1536"/>
      <c r="I55" s="1536"/>
      <c r="J55" s="1536"/>
      <c r="K55" s="1537"/>
    </row>
    <row r="56" spans="1:11" ht="12.75" customHeight="1" x14ac:dyDescent="0.25">
      <c r="A56" s="1535"/>
      <c r="B56" s="1536"/>
      <c r="C56" s="1536"/>
      <c r="D56" s="1536"/>
      <c r="E56" s="1536"/>
      <c r="F56" s="1536"/>
      <c r="G56" s="1536"/>
      <c r="H56" s="1536"/>
      <c r="I56" s="1536"/>
      <c r="J56" s="1536"/>
      <c r="K56" s="1537"/>
    </row>
    <row r="57" spans="1:11" ht="12.75" customHeight="1" x14ac:dyDescent="0.25">
      <c r="A57" s="1535"/>
      <c r="B57" s="1536"/>
      <c r="C57" s="1536"/>
      <c r="D57" s="1536"/>
      <c r="E57" s="1536"/>
      <c r="F57" s="1536"/>
      <c r="G57" s="1536"/>
      <c r="H57" s="1536"/>
      <c r="I57" s="1536"/>
      <c r="J57" s="1536"/>
      <c r="K57" s="1537"/>
    </row>
    <row r="58" spans="1:11" ht="12.75" customHeight="1" x14ac:dyDescent="0.25">
      <c r="A58" s="1535"/>
      <c r="B58" s="1536"/>
      <c r="C58" s="1536"/>
      <c r="D58" s="1536"/>
      <c r="E58" s="1536"/>
      <c r="F58" s="1536"/>
      <c r="G58" s="1536"/>
      <c r="H58" s="1536"/>
      <c r="I58" s="1536"/>
      <c r="J58" s="1536"/>
      <c r="K58" s="1537"/>
    </row>
    <row r="59" spans="1:11" ht="12.75" customHeight="1" x14ac:dyDescent="0.25">
      <c r="A59" s="1535"/>
      <c r="B59" s="1536"/>
      <c r="C59" s="1536"/>
      <c r="D59" s="1536"/>
      <c r="E59" s="1536"/>
      <c r="F59" s="1536"/>
      <c r="G59" s="1536"/>
      <c r="H59" s="1536"/>
      <c r="I59" s="1536"/>
      <c r="J59" s="1536"/>
      <c r="K59" s="1537"/>
    </row>
    <row r="60" spans="1:11" ht="12.75" customHeight="1" x14ac:dyDescent="0.25">
      <c r="A60" s="1535"/>
      <c r="B60" s="1536"/>
      <c r="C60" s="1536"/>
      <c r="D60" s="1536"/>
      <c r="E60" s="1536"/>
      <c r="F60" s="1536"/>
      <c r="G60" s="1536"/>
      <c r="H60" s="1536"/>
      <c r="I60" s="1536"/>
      <c r="J60" s="1536"/>
      <c r="K60" s="1537"/>
    </row>
    <row r="61" spans="1:11" ht="12.75" customHeight="1" x14ac:dyDescent="0.25">
      <c r="A61" s="1535"/>
      <c r="B61" s="1536"/>
      <c r="C61" s="1536"/>
      <c r="D61" s="1536"/>
      <c r="E61" s="1536"/>
      <c r="F61" s="1536"/>
      <c r="G61" s="1536"/>
      <c r="H61" s="1536"/>
      <c r="I61" s="1536"/>
      <c r="J61" s="1536"/>
      <c r="K61" s="1537"/>
    </row>
    <row r="62" spans="1:11" ht="12.75" customHeight="1" x14ac:dyDescent="0.25">
      <c r="A62" s="1535"/>
      <c r="B62" s="1536"/>
      <c r="C62" s="1536"/>
      <c r="D62" s="1536"/>
      <c r="E62" s="1536"/>
      <c r="F62" s="1536"/>
      <c r="G62" s="1536"/>
      <c r="H62" s="1536"/>
      <c r="I62" s="1536"/>
      <c r="J62" s="1536"/>
      <c r="K62" s="1537"/>
    </row>
    <row r="63" spans="1:11" ht="12.75" customHeight="1" x14ac:dyDescent="0.25">
      <c r="A63" s="1535"/>
      <c r="B63" s="1536"/>
      <c r="C63" s="1536"/>
      <c r="D63" s="1536"/>
      <c r="E63" s="1536"/>
      <c r="F63" s="1536"/>
      <c r="G63" s="1536"/>
      <c r="H63" s="1536"/>
      <c r="I63" s="1536"/>
      <c r="J63" s="1536"/>
      <c r="K63" s="1537"/>
    </row>
    <row r="64" spans="1:11" ht="12.75" customHeight="1" x14ac:dyDescent="0.25">
      <c r="A64" s="1535"/>
      <c r="B64" s="1536"/>
      <c r="C64" s="1536"/>
      <c r="D64" s="1536"/>
      <c r="E64" s="1536"/>
      <c r="F64" s="1536"/>
      <c r="G64" s="1536"/>
      <c r="H64" s="1536"/>
      <c r="I64" s="1536"/>
      <c r="J64" s="1536"/>
      <c r="K64" s="1537"/>
    </row>
    <row r="65" spans="1:11" ht="13.2" thickBot="1" x14ac:dyDescent="0.3">
      <c r="A65" s="1538"/>
      <c r="B65" s="1539"/>
      <c r="C65" s="1539"/>
      <c r="D65" s="1539"/>
      <c r="E65" s="1539"/>
      <c r="F65" s="1539"/>
      <c r="G65" s="1539"/>
      <c r="H65" s="1539"/>
      <c r="I65" s="1539"/>
      <c r="J65" s="1539"/>
      <c r="K65" s="1540"/>
    </row>
  </sheetData>
  <sheetProtection selectLockedCells="1"/>
  <mergeCells count="2">
    <mergeCell ref="A2:K2"/>
    <mergeCell ref="A36:K65"/>
  </mergeCells>
  <dataValidations count="1">
    <dataValidation type="list" allowBlank="1" showInputMessage="1" showErrorMessage="1" sqref="A30 A12 A20" xr:uid="{00000000-0002-0000-0900-000000000000}">
      <formula1>$A$9:$A$11</formula1>
    </dataValidation>
  </dataValidations>
  <printOptions horizontalCentered="1"/>
  <pageMargins left="0.17" right="0.21" top="0.5" bottom="0.2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T157"/>
  <sheetViews>
    <sheetView showGridLines="0" zoomScale="110" zoomScaleNormal="110" zoomScaleSheetLayoutView="120" workbookViewId="0">
      <selection activeCell="D10" sqref="D10:F10"/>
    </sheetView>
  </sheetViews>
  <sheetFormatPr defaultColWidth="9.109375" defaultRowHeight="13.2" x14ac:dyDescent="0.25"/>
  <cols>
    <col min="1" max="1" width="4.6640625" style="306" customWidth="1"/>
    <col min="2" max="12" width="8.6640625" style="306" customWidth="1"/>
    <col min="13" max="16384" width="9.109375" style="306"/>
  </cols>
  <sheetData>
    <row r="1" spans="1:20" x14ac:dyDescent="0.25">
      <c r="A1" s="305" t="s">
        <v>588</v>
      </c>
      <c r="K1" s="534"/>
      <c r="M1" s="534" t="str">
        <f>'Project Information'!D4</f>
        <v>Project Name</v>
      </c>
    </row>
    <row r="2" spans="1:20" x14ac:dyDescent="0.25">
      <c r="Q2" s="676"/>
      <c r="R2" s="1570" t="s">
        <v>723</v>
      </c>
      <c r="S2" s="1570"/>
    </row>
    <row r="3" spans="1:20" ht="13.8" thickBot="1" x14ac:dyDescent="0.3">
      <c r="A3" s="305" t="s">
        <v>205</v>
      </c>
      <c r="P3" s="677"/>
      <c r="S3" s="677"/>
    </row>
    <row r="4" spans="1:20" s="307" customFormat="1" ht="18.899999999999999" customHeight="1" thickBot="1" x14ac:dyDescent="0.3">
      <c r="B4" s="310" t="s">
        <v>206</v>
      </c>
      <c r="D4" s="1580" t="s">
        <v>1793</v>
      </c>
      <c r="E4" s="1576"/>
      <c r="F4" s="1576"/>
      <c r="G4" s="1576"/>
      <c r="H4" s="1577"/>
      <c r="I4" s="321" t="s">
        <v>992</v>
      </c>
      <c r="L4" s="1548" t="s">
        <v>671</v>
      </c>
      <c r="M4" s="1549"/>
      <c r="P4" s="677"/>
      <c r="Q4" s="677" t="s">
        <v>724</v>
      </c>
      <c r="R4" s="306"/>
      <c r="S4" s="677"/>
      <c r="T4" s="677" t="s">
        <v>731</v>
      </c>
    </row>
    <row r="5" spans="1:20" s="307" customFormat="1" ht="6" customHeight="1" thickBot="1" x14ac:dyDescent="0.3">
      <c r="R5" s="306"/>
      <c r="S5" s="677"/>
    </row>
    <row r="6" spans="1:20" s="307" customFormat="1" ht="18.899999999999999" customHeight="1" thickBot="1" x14ac:dyDescent="0.3">
      <c r="B6" s="310" t="s">
        <v>191</v>
      </c>
      <c r="D6" s="1580"/>
      <c r="E6" s="1576"/>
      <c r="F6" s="1576"/>
      <c r="G6" s="1576"/>
      <c r="H6" s="1576"/>
      <c r="I6" s="1577"/>
      <c r="J6" s="997" t="str">
        <f>IF(L6="Yes","State LIHTC?","")</f>
        <v/>
      </c>
      <c r="L6" s="310"/>
      <c r="P6" s="677"/>
      <c r="Q6" s="677" t="s">
        <v>725</v>
      </c>
      <c r="R6" s="306"/>
      <c r="S6" s="677"/>
      <c r="T6" s="677" t="s">
        <v>732</v>
      </c>
    </row>
    <row r="7" spans="1:20" s="307" customFormat="1" ht="6" customHeight="1" thickBot="1" x14ac:dyDescent="0.3">
      <c r="R7" s="306"/>
      <c r="S7" s="677"/>
    </row>
    <row r="8" spans="1:20" s="307" customFormat="1" ht="18.899999999999999" customHeight="1" thickBot="1" x14ac:dyDescent="0.3">
      <c r="B8" s="310" t="s">
        <v>168</v>
      </c>
      <c r="D8" s="1530"/>
      <c r="E8" s="1517"/>
      <c r="F8" s="1518"/>
      <c r="H8" s="686"/>
      <c r="I8" s="687" t="s">
        <v>1768</v>
      </c>
      <c r="J8" s="688">
        <f>IF(D10="",0,IF(AND(L4="Yes",L6=""),IF('Tax Credit Calculations'!D6="No",IF(OR(D10="York",D10="Cumberland",D10="Sagadahoc"),118000,IF(OR(D10="Androscoggin",D10="Hancock",D10="Kennebec",D10="Knox",D10="Lincoln",R18="Bangor HMFA"),142000,160000)),IF(OR(D10="York",D10="Cumberland",D10="Sagadahoc"),88000,IF(OR(D10="Androscoggin",D10="Hancock",D10="Kennebec",D10="Knox",D10="Lincoln",R18="Bangor HMFA"),118000,142000))),IF(OR(D10="York",D10="Cumberland",D10="Sagadahoc"),65000,IF(OR(D10="Androscoggin",D10="Hancock",D10="Kennebec",D10="Knox",D10="Lincoln",R18="Bangor HMFA"),70000,75000))))</f>
        <v>0</v>
      </c>
      <c r="K8" s="686"/>
      <c r="L8" s="687" t="s">
        <v>768</v>
      </c>
      <c r="M8" s="688">
        <f>IF(AND(L4="Yes",L6=""),IF(J8*'Tax Credit Calculations'!W31&lt;=6000000,J8*'Tax Credit Calculations'!W31,6000000),IF(J8*'Tax Credit Calculations'!W31&lt;=3000000,J8*'Tax Credit Calculations'!W31,3000000))</f>
        <v>0</v>
      </c>
      <c r="P8" s="677"/>
      <c r="Q8" s="677" t="s">
        <v>726</v>
      </c>
      <c r="R8" s="306"/>
      <c r="S8" s="306"/>
      <c r="T8" s="677" t="s">
        <v>733</v>
      </c>
    </row>
    <row r="9" spans="1:20" s="307" customFormat="1" ht="6" customHeight="1" thickBot="1" x14ac:dyDescent="0.3">
      <c r="R9" s="306"/>
      <c r="T9" s="306"/>
    </row>
    <row r="10" spans="1:20" s="307" customFormat="1" ht="18.899999999999999" customHeight="1" thickBot="1" x14ac:dyDescent="0.3">
      <c r="B10" s="320" t="s">
        <v>603</v>
      </c>
      <c r="D10" s="1572"/>
      <c r="E10" s="1573"/>
      <c r="F10" s="1574"/>
      <c r="H10" s="389" t="s">
        <v>1799</v>
      </c>
      <c r="I10" s="1527"/>
      <c r="J10" s="1528"/>
      <c r="K10" s="1529"/>
      <c r="P10" s="677"/>
      <c r="Q10" s="677" t="s">
        <v>727</v>
      </c>
      <c r="R10" s="306"/>
      <c r="T10" s="677" t="s">
        <v>734</v>
      </c>
    </row>
    <row r="11" spans="1:20" s="307" customFormat="1" ht="6" customHeight="1" thickBot="1" x14ac:dyDescent="0.3">
      <c r="I11" s="308"/>
      <c r="R11" s="306"/>
    </row>
    <row r="12" spans="1:20" s="307" customFormat="1" ht="18.75" customHeight="1" thickBot="1" x14ac:dyDescent="0.3">
      <c r="B12" s="310" t="s">
        <v>207</v>
      </c>
      <c r="E12" s="1491"/>
      <c r="F12" s="1575"/>
      <c r="G12" s="1575"/>
      <c r="H12" s="1575"/>
      <c r="I12" s="1575"/>
      <c r="J12" s="1510"/>
      <c r="P12" s="677"/>
      <c r="Q12" s="677" t="s">
        <v>728</v>
      </c>
      <c r="R12" s="306"/>
      <c r="T12" s="677" t="s">
        <v>735</v>
      </c>
    </row>
    <row r="13" spans="1:20" s="307" customFormat="1" ht="6" customHeight="1" thickBot="1" x14ac:dyDescent="0.3">
      <c r="R13" s="306"/>
    </row>
    <row r="14" spans="1:20" s="307" customFormat="1" ht="18.899999999999999" customHeight="1" thickBot="1" x14ac:dyDescent="0.3">
      <c r="B14" s="306"/>
      <c r="C14" s="310" t="s">
        <v>185</v>
      </c>
      <c r="E14" s="1491"/>
      <c r="F14" s="1575"/>
      <c r="G14" s="1575"/>
      <c r="H14" s="1575"/>
      <c r="I14" s="1575"/>
      <c r="J14" s="1510"/>
      <c r="P14" s="677"/>
      <c r="Q14" s="677" t="s">
        <v>729</v>
      </c>
      <c r="T14" s="677" t="s">
        <v>736</v>
      </c>
    </row>
    <row r="15" spans="1:20" s="307" customFormat="1" ht="6" customHeight="1" thickBot="1" x14ac:dyDescent="0.3">
      <c r="B15" s="306"/>
      <c r="R15" s="306"/>
    </row>
    <row r="16" spans="1:20" s="307" customFormat="1" ht="18.899999999999999" customHeight="1" thickBot="1" x14ac:dyDescent="0.3">
      <c r="E16" s="1491"/>
      <c r="F16" s="1575"/>
      <c r="G16" s="1575"/>
      <c r="H16" s="1575"/>
      <c r="I16" s="1575"/>
      <c r="J16" s="1510"/>
      <c r="P16" s="677"/>
      <c r="Q16" s="677" t="s">
        <v>730</v>
      </c>
      <c r="R16" s="306"/>
      <c r="T16" s="677" t="s">
        <v>737</v>
      </c>
    </row>
    <row r="17" spans="2:18" s="307" customFormat="1" ht="6" customHeight="1" thickBot="1" x14ac:dyDescent="0.3">
      <c r="R17" s="306"/>
    </row>
    <row r="18" spans="2:18" s="307" customFormat="1" ht="18.899999999999999" customHeight="1" thickBot="1" x14ac:dyDescent="0.3">
      <c r="B18" s="306"/>
      <c r="C18" s="310" t="s">
        <v>198</v>
      </c>
      <c r="E18" s="1527"/>
      <c r="F18" s="1576"/>
      <c r="G18" s="1577"/>
      <c r="P18" s="677"/>
      <c r="R18" s="677" t="str">
        <f>IF(OR(D8=Q4,D8=Q6,D8=Q8,D8=Q10,D8=Q12,D8=Q14,D8=Q16,D8=T4,D8=T6,D8=T8,D8=T10,D8=T12,D8=T14,D8=T16),R2,"")</f>
        <v/>
      </c>
    </row>
    <row r="19" spans="2:18" s="307" customFormat="1" ht="9.9" customHeight="1" thickBot="1" x14ac:dyDescent="0.25"/>
    <row r="20" spans="2:18" s="307" customFormat="1" ht="18.899999999999999" hidden="1" customHeight="1" x14ac:dyDescent="0.25">
      <c r="B20" s="306"/>
      <c r="C20" s="310"/>
      <c r="E20" s="310" t="s">
        <v>540</v>
      </c>
      <c r="K20" s="307">
        <f t="shared" ref="K20:K25" si="0">IF(D$26=E20,1,0)</f>
        <v>1</v>
      </c>
      <c r="L20" s="307">
        <f>IF(K20=0,0,IF(I28=0,0,1))</f>
        <v>0</v>
      </c>
    </row>
    <row r="21" spans="2:18" s="307" customFormat="1" ht="18.899999999999999" hidden="1" customHeight="1" x14ac:dyDescent="0.25">
      <c r="B21" s="306"/>
      <c r="C21" s="310"/>
      <c r="E21" s="310" t="s">
        <v>701</v>
      </c>
      <c r="K21" s="307">
        <f t="shared" si="0"/>
        <v>0</v>
      </c>
      <c r="L21" s="307">
        <f>IF(K21=0,0,IF(OR(D28=0,I28=0),1,0))</f>
        <v>0</v>
      </c>
    </row>
    <row r="22" spans="2:18" s="307" customFormat="1" ht="18.899999999999999" hidden="1" customHeight="1" x14ac:dyDescent="0.25">
      <c r="B22" s="306"/>
      <c r="C22" s="310"/>
      <c r="E22" s="310" t="s">
        <v>1006</v>
      </c>
      <c r="K22" s="307">
        <f t="shared" si="0"/>
        <v>0</v>
      </c>
      <c r="L22" s="307">
        <f>IF(K22=0,0,IF(OR(D28=0,I28=0),1,0))</f>
        <v>0</v>
      </c>
    </row>
    <row r="23" spans="2:18" s="307" customFormat="1" ht="18.899999999999999" hidden="1" customHeight="1" x14ac:dyDescent="0.25">
      <c r="B23" s="306"/>
      <c r="C23" s="310"/>
      <c r="E23" s="310" t="s">
        <v>618</v>
      </c>
      <c r="K23" s="307">
        <f t="shared" si="0"/>
        <v>0</v>
      </c>
      <c r="L23" s="307">
        <f>IF(K23=0,0,IF(I28=0,0,1))</f>
        <v>0</v>
      </c>
    </row>
    <row r="24" spans="2:18" s="307" customFormat="1" ht="18.899999999999999" hidden="1" customHeight="1" x14ac:dyDescent="0.25">
      <c r="B24" s="306"/>
      <c r="C24" s="310"/>
      <c r="E24" s="310" t="s">
        <v>702</v>
      </c>
      <c r="K24" s="307">
        <f t="shared" si="0"/>
        <v>0</v>
      </c>
      <c r="L24" s="307">
        <f>IF(K24=0,0,IF(OR(D28=0,I28=0),1,0))</f>
        <v>0</v>
      </c>
    </row>
    <row r="25" spans="2:18" s="307" customFormat="1" ht="18.899999999999999" hidden="1" customHeight="1" thickBot="1" x14ac:dyDescent="0.3">
      <c r="B25" s="306"/>
      <c r="C25" s="310"/>
      <c r="E25" s="310" t="s">
        <v>703</v>
      </c>
      <c r="K25" s="307">
        <f t="shared" si="0"/>
        <v>0</v>
      </c>
      <c r="L25" s="307">
        <f>IF(K25=0,0,IF(D28=0,0,1))</f>
        <v>0</v>
      </c>
    </row>
    <row r="26" spans="2:18" s="307" customFormat="1" ht="19.5" customHeight="1" thickBot="1" x14ac:dyDescent="0.25">
      <c r="B26" s="310" t="s">
        <v>208</v>
      </c>
      <c r="D26" s="1564" t="s">
        <v>540</v>
      </c>
      <c r="E26" s="1578"/>
      <c r="F26" s="1578"/>
      <c r="G26" s="1578"/>
      <c r="H26" s="1578"/>
      <c r="I26" s="1579"/>
      <c r="J26" s="321" t="s">
        <v>596</v>
      </c>
    </row>
    <row r="27" spans="2:18" s="307" customFormat="1" ht="10.8" thickBot="1" x14ac:dyDescent="0.25"/>
    <row r="28" spans="2:18" s="307" customFormat="1" ht="15" customHeight="1" thickBot="1" x14ac:dyDescent="0.25">
      <c r="D28" s="322"/>
      <c r="E28" s="307" t="str">
        <f>IF(D26="Acquisition/Rehab With Adaptive Reuse/Conversion","Number of Rehab Units","Number of Units in Existing Structures")</f>
        <v>Number of Units in Existing Structures</v>
      </c>
      <c r="I28" s="322"/>
      <c r="J28" s="307" t="str">
        <f>IF(D26="Acquisition/Rehab With Adaptive Reuse/Conversion","Number of New Units","Number of Units of N/C")</f>
        <v>Number of Units of N/C</v>
      </c>
      <c r="L28" s="323"/>
    </row>
    <row r="29" spans="2:18" s="307" customFormat="1" ht="15" customHeight="1" x14ac:dyDescent="0.2">
      <c r="L29" s="323"/>
    </row>
    <row r="30" spans="2:18" s="307" customFormat="1" ht="6" customHeight="1" thickBot="1" x14ac:dyDescent="0.25"/>
    <row r="31" spans="2:18" s="307" customFormat="1" ht="10.8" thickBot="1" x14ac:dyDescent="0.25">
      <c r="B31" s="307" t="s">
        <v>1011</v>
      </c>
      <c r="J31" s="1562" t="s">
        <v>671</v>
      </c>
      <c r="K31" s="1563"/>
    </row>
    <row r="32" spans="2:18" s="307" customFormat="1" ht="39.9" customHeight="1" thickBot="1" x14ac:dyDescent="0.25">
      <c r="C32" s="1571" t="s">
        <v>689</v>
      </c>
      <c r="D32" s="1571"/>
      <c r="E32" s="1571"/>
      <c r="F32" s="1571"/>
      <c r="G32" s="1571"/>
      <c r="H32" s="1571"/>
      <c r="I32" s="1571"/>
      <c r="J32" s="1571"/>
    </row>
    <row r="33" spans="2:15" s="307" customFormat="1" ht="65.099999999999994" customHeight="1" thickBot="1" x14ac:dyDescent="0.25">
      <c r="C33" s="1553"/>
      <c r="D33" s="1582"/>
      <c r="E33" s="1582"/>
      <c r="F33" s="1582"/>
      <c r="G33" s="1582"/>
      <c r="H33" s="1582"/>
      <c r="I33" s="1582"/>
      <c r="J33" s="1583"/>
    </row>
    <row r="34" spans="2:15" s="307" customFormat="1" ht="15" customHeight="1" x14ac:dyDescent="0.2">
      <c r="B34" s="1581" t="str">
        <f>IF(D28+I28=0,"",IF(SUM(L20:L25)=0,"","WARNING:  NUMBER OF UNITS INCONSISTENT WITH DROP DOWN MENU"))</f>
        <v/>
      </c>
      <c r="C34" s="1581"/>
      <c r="D34" s="1581"/>
      <c r="E34" s="1581"/>
      <c r="F34" s="1581"/>
      <c r="G34" s="1581"/>
      <c r="H34" s="1581"/>
      <c r="I34" s="1581"/>
      <c r="J34" s="1581"/>
      <c r="K34" s="1581"/>
      <c r="L34" s="323"/>
    </row>
    <row r="35" spans="2:15" s="307" customFormat="1" ht="6" customHeight="1" thickBot="1" x14ac:dyDescent="0.25"/>
    <row r="36" spans="2:15" s="307" customFormat="1" ht="10.8" thickBot="1" x14ac:dyDescent="0.25">
      <c r="B36" s="307" t="s">
        <v>615</v>
      </c>
      <c r="J36" s="1562" t="s">
        <v>671</v>
      </c>
      <c r="K36" s="1563"/>
      <c r="O36" s="324"/>
    </row>
    <row r="37" spans="2:15" s="307" customFormat="1" ht="10.8" thickBot="1" x14ac:dyDescent="0.25">
      <c r="C37" s="307" t="s">
        <v>631</v>
      </c>
    </row>
    <row r="38" spans="2:15" s="307" customFormat="1" ht="39.9" customHeight="1" thickBot="1" x14ac:dyDescent="0.25">
      <c r="C38" s="1553"/>
      <c r="D38" s="1582"/>
      <c r="E38" s="1582"/>
      <c r="F38" s="1582"/>
      <c r="G38" s="1582"/>
      <c r="H38" s="1582"/>
      <c r="I38" s="1582"/>
      <c r="J38" s="1583"/>
    </row>
    <row r="39" spans="2:15" s="307" customFormat="1" ht="10.8" thickBot="1" x14ac:dyDescent="0.25"/>
    <row r="40" spans="2:15" s="307" customFormat="1" ht="10.8" thickBot="1" x14ac:dyDescent="0.25">
      <c r="B40" s="307" t="s">
        <v>622</v>
      </c>
      <c r="J40" s="1562" t="s">
        <v>671</v>
      </c>
      <c r="K40" s="1563"/>
      <c r="O40" s="324"/>
    </row>
    <row r="41" spans="2:15" s="307" customFormat="1" ht="6" customHeight="1" x14ac:dyDescent="0.2">
      <c r="B41" s="325"/>
      <c r="C41" s="325"/>
      <c r="D41" s="325"/>
      <c r="E41" s="325"/>
      <c r="F41" s="325"/>
      <c r="G41" s="325"/>
    </row>
    <row r="42" spans="2:15" s="307" customFormat="1" ht="12" thickBot="1" x14ac:dyDescent="0.25">
      <c r="B42" s="307" t="s">
        <v>673</v>
      </c>
      <c r="C42" s="325"/>
      <c r="D42" s="325"/>
      <c r="E42" s="325"/>
      <c r="F42" s="325"/>
      <c r="G42" s="325"/>
    </row>
    <row r="43" spans="2:15" s="307" customFormat="1" ht="11.25" hidden="1" customHeight="1" x14ac:dyDescent="0.2">
      <c r="B43" s="310"/>
      <c r="J43" s="307" t="s">
        <v>671</v>
      </c>
    </row>
    <row r="44" spans="2:15" s="307" customFormat="1" ht="11.25" hidden="1" customHeight="1" x14ac:dyDescent="0.2">
      <c r="B44" s="310"/>
      <c r="J44" s="328" t="s">
        <v>491</v>
      </c>
    </row>
    <row r="45" spans="2:15" s="307" customFormat="1" ht="12" hidden="1" customHeight="1" thickBot="1" x14ac:dyDescent="0.25">
      <c r="B45" s="310"/>
      <c r="J45" s="328" t="s">
        <v>493</v>
      </c>
    </row>
    <row r="46" spans="2:15" s="307" customFormat="1" ht="13.5" customHeight="1" thickBot="1" x14ac:dyDescent="0.25">
      <c r="B46" s="311" t="s">
        <v>672</v>
      </c>
      <c r="J46" s="1548" t="s">
        <v>671</v>
      </c>
      <c r="K46" s="1549"/>
    </row>
    <row r="47" spans="2:15" s="307" customFormat="1" ht="10.199999999999999" x14ac:dyDescent="0.2"/>
    <row r="48" spans="2:15" x14ac:dyDescent="0.25">
      <c r="D48" s="326" t="s">
        <v>468</v>
      </c>
      <c r="I48" s="307"/>
    </row>
    <row r="49" spans="2:12" ht="13.8" thickBot="1" x14ac:dyDescent="0.3">
      <c r="D49" s="326" t="s">
        <v>468</v>
      </c>
      <c r="I49" s="307"/>
    </row>
    <row r="50" spans="2:12" ht="13.5" customHeight="1" thickBot="1" x14ac:dyDescent="0.3">
      <c r="B50" s="320" t="s">
        <v>81</v>
      </c>
      <c r="D50" s="1550" t="str">
        <f>IF(L4="Yes","With Federal subsidies","Without Federal subsidies")</f>
        <v>Without Federal subsidies</v>
      </c>
      <c r="E50" s="1551"/>
      <c r="F50" s="1552"/>
      <c r="G50" s="923" t="s">
        <v>597</v>
      </c>
      <c r="K50" s="1562" t="s">
        <v>671</v>
      </c>
      <c r="L50" s="1563"/>
    </row>
    <row r="51" spans="2:12" x14ac:dyDescent="0.25">
      <c r="I51" s="326"/>
    </row>
    <row r="52" spans="2:12" s="307" customFormat="1" ht="11.4" x14ac:dyDescent="0.2">
      <c r="B52" s="310" t="s">
        <v>171</v>
      </c>
      <c r="C52" s="325"/>
      <c r="D52" s="325"/>
      <c r="E52" s="325"/>
      <c r="F52" s="325"/>
      <c r="G52" s="325"/>
    </row>
    <row r="53" spans="2:12" s="307" customFormat="1" ht="11.4" x14ac:dyDescent="0.2">
      <c r="B53" s="325"/>
      <c r="C53" s="325"/>
      <c r="D53" s="325"/>
      <c r="E53" s="325"/>
      <c r="F53" s="325"/>
      <c r="G53" s="325"/>
    </row>
    <row r="54" spans="2:12" s="307" customFormat="1" ht="10.199999999999999" x14ac:dyDescent="0.2">
      <c r="B54" s="310" t="s">
        <v>0</v>
      </c>
    </row>
    <row r="55" spans="2:12" s="307" customFormat="1" ht="10.199999999999999" x14ac:dyDescent="0.2">
      <c r="B55" s="307" t="s">
        <v>80</v>
      </c>
    </row>
    <row r="56" spans="2:12" s="307" customFormat="1" ht="6" customHeight="1" x14ac:dyDescent="0.2">
      <c r="B56" s="325"/>
      <c r="C56" s="325"/>
      <c r="D56" s="325"/>
      <c r="E56" s="325"/>
      <c r="F56" s="325"/>
      <c r="G56" s="325"/>
    </row>
    <row r="57" spans="2:12" s="307" customFormat="1" ht="12" x14ac:dyDescent="0.25">
      <c r="B57" s="681" t="s">
        <v>596</v>
      </c>
      <c r="C57" s="325"/>
      <c r="D57" s="325"/>
      <c r="E57" s="325"/>
      <c r="F57" s="325"/>
      <c r="G57" s="325"/>
    </row>
    <row r="58" spans="2:12" s="307" customFormat="1" ht="11.4" hidden="1" x14ac:dyDescent="0.2">
      <c r="B58" s="325" t="s">
        <v>743</v>
      </c>
      <c r="C58" s="325"/>
      <c r="D58" s="325"/>
      <c r="E58" s="325"/>
      <c r="F58" s="325"/>
      <c r="G58" s="325"/>
    </row>
    <row r="59" spans="2:12" s="307" customFormat="1" ht="11.4" hidden="1" x14ac:dyDescent="0.2">
      <c r="B59" s="325" t="s">
        <v>755</v>
      </c>
      <c r="C59" s="325"/>
      <c r="D59" s="325"/>
      <c r="E59" s="325"/>
      <c r="F59" s="325"/>
      <c r="G59" s="325"/>
    </row>
    <row r="60" spans="2:12" s="307" customFormat="1" ht="11.4" hidden="1" x14ac:dyDescent="0.2">
      <c r="B60" s="325" t="s">
        <v>744</v>
      </c>
      <c r="C60" s="325"/>
      <c r="D60" s="325"/>
      <c r="E60" s="325"/>
      <c r="F60" s="325"/>
      <c r="G60" s="325"/>
    </row>
    <row r="61" spans="2:12" s="307" customFormat="1" ht="11.4" x14ac:dyDescent="0.2">
      <c r="B61" s="1567" t="s">
        <v>744</v>
      </c>
      <c r="C61" s="1568"/>
      <c r="D61" s="1568"/>
      <c r="E61" s="1568"/>
      <c r="F61" s="1568"/>
      <c r="G61" s="1568"/>
      <c r="H61" s="1568"/>
      <c r="I61" s="1568"/>
      <c r="J61" s="1568"/>
      <c r="K61" s="1568"/>
      <c r="L61" s="1569"/>
    </row>
    <row r="62" spans="2:12" s="307" customFormat="1" ht="11.4" x14ac:dyDescent="0.2">
      <c r="B62" s="325"/>
      <c r="C62" s="325"/>
      <c r="D62" s="325"/>
      <c r="E62" s="325"/>
      <c r="F62" s="325"/>
      <c r="G62" s="325"/>
    </row>
    <row r="63" spans="2:12" s="307" customFormat="1" ht="10.199999999999999" x14ac:dyDescent="0.2">
      <c r="B63" s="310" t="s">
        <v>4</v>
      </c>
      <c r="D63" s="310"/>
    </row>
    <row r="64" spans="2:12" s="307" customFormat="1" ht="10.199999999999999" x14ac:dyDescent="0.2">
      <c r="B64" s="307" t="s">
        <v>993</v>
      </c>
    </row>
    <row r="65" spans="2:15" s="307" customFormat="1" ht="6" customHeight="1" x14ac:dyDescent="0.2">
      <c r="B65" s="325"/>
      <c r="C65" s="325"/>
      <c r="D65" s="325"/>
      <c r="E65" s="325"/>
      <c r="F65" s="325"/>
      <c r="G65" s="325"/>
    </row>
    <row r="66" spans="2:15" s="307" customFormat="1" ht="11.4" x14ac:dyDescent="0.2">
      <c r="B66" s="325"/>
      <c r="C66" s="325"/>
      <c r="D66" s="325"/>
      <c r="E66" s="325"/>
      <c r="F66" s="325"/>
      <c r="G66" s="325"/>
      <c r="J66" s="684" t="s">
        <v>749</v>
      </c>
      <c r="L66" s="685" t="s">
        <v>750</v>
      </c>
    </row>
    <row r="67" spans="2:15" s="307" customFormat="1" ht="16.5" customHeight="1" thickBot="1" x14ac:dyDescent="0.25">
      <c r="B67" s="325"/>
      <c r="C67" s="325"/>
      <c r="D67" s="325"/>
      <c r="E67" s="325"/>
      <c r="J67" s="684" t="s">
        <v>756</v>
      </c>
      <c r="L67" s="307" t="s">
        <v>757</v>
      </c>
      <c r="O67" s="325"/>
    </row>
    <row r="68" spans="2:15" s="307" customFormat="1" ht="16.5" hidden="1" customHeight="1" x14ac:dyDescent="0.2">
      <c r="B68" s="325"/>
      <c r="C68" s="325"/>
      <c r="D68" s="325"/>
      <c r="E68" s="325"/>
      <c r="J68" s="325" t="s">
        <v>753</v>
      </c>
      <c r="L68" s="307" t="s">
        <v>751</v>
      </c>
      <c r="O68" s="325"/>
    </row>
    <row r="69" spans="2:15" s="307" customFormat="1" ht="16.5" hidden="1" customHeight="1" x14ac:dyDescent="0.2">
      <c r="B69" s="325"/>
      <c r="C69" s="325"/>
      <c r="D69" s="325"/>
      <c r="E69" s="325"/>
      <c r="J69" s="325" t="s">
        <v>754</v>
      </c>
      <c r="L69" s="307" t="s">
        <v>752</v>
      </c>
      <c r="O69" s="325"/>
    </row>
    <row r="70" spans="2:15" s="307" customFormat="1" ht="16.5" hidden="1" customHeight="1" thickBot="1" x14ac:dyDescent="0.25">
      <c r="C70" s="325"/>
      <c r="D70" s="325"/>
      <c r="E70" s="325"/>
      <c r="G70" s="325"/>
      <c r="O70" s="325"/>
    </row>
    <row r="71" spans="2:15" s="307" customFormat="1" ht="15.75" customHeight="1" thickBot="1" x14ac:dyDescent="0.25">
      <c r="B71" s="682" t="s">
        <v>748</v>
      </c>
      <c r="C71" s="325"/>
      <c r="D71" s="325"/>
      <c r="E71" s="325"/>
      <c r="F71" s="1562" t="s">
        <v>671</v>
      </c>
      <c r="G71" s="1563"/>
      <c r="H71" s="371" t="str">
        <f>IF(F71="Yes","Select applicable limits","")</f>
        <v/>
      </c>
      <c r="J71" s="680"/>
      <c r="L71" s="680"/>
      <c r="O71" s="325"/>
    </row>
    <row r="72" spans="2:15" s="307" customFormat="1" ht="6" customHeight="1" thickBot="1" x14ac:dyDescent="0.25">
      <c r="B72" s="682"/>
      <c r="C72" s="325"/>
      <c r="D72" s="325"/>
      <c r="E72" s="325"/>
      <c r="G72" s="325"/>
      <c r="O72" s="325"/>
    </row>
    <row r="73" spans="2:15" s="307" customFormat="1" ht="15.75" customHeight="1" thickBot="1" x14ac:dyDescent="0.25">
      <c r="B73" s="682" t="s">
        <v>747</v>
      </c>
      <c r="C73" s="325"/>
      <c r="D73" s="325"/>
      <c r="E73" s="325"/>
      <c r="F73" s="1562" t="s">
        <v>671</v>
      </c>
      <c r="G73" s="1563"/>
    </row>
    <row r="74" spans="2:15" s="307" customFormat="1" ht="11.4" x14ac:dyDescent="0.2">
      <c r="B74" s="325"/>
      <c r="C74" s="325"/>
      <c r="D74" s="325"/>
      <c r="E74" s="325"/>
      <c r="F74" s="325"/>
      <c r="G74" s="325"/>
    </row>
    <row r="75" spans="2:15" s="307" customFormat="1" ht="11.4" x14ac:dyDescent="0.2">
      <c r="B75" s="325"/>
      <c r="C75" s="325"/>
      <c r="D75" s="325"/>
      <c r="E75" s="325"/>
      <c r="F75" s="325"/>
      <c r="G75" s="325"/>
    </row>
    <row r="76" spans="2:15" s="307" customFormat="1" ht="10.199999999999999" x14ac:dyDescent="0.2">
      <c r="B76" s="310" t="s">
        <v>1019</v>
      </c>
    </row>
    <row r="77" spans="2:15" s="307" customFormat="1" ht="10.199999999999999" x14ac:dyDescent="0.2">
      <c r="B77" s="307" t="s">
        <v>614</v>
      </c>
    </row>
    <row r="78" spans="2:15" s="307" customFormat="1" ht="6" customHeight="1" thickBot="1" x14ac:dyDescent="0.25"/>
    <row r="79" spans="2:15" s="307" customFormat="1" ht="15.75" customHeight="1" thickBot="1" x14ac:dyDescent="0.25">
      <c r="B79" s="682" t="s">
        <v>745</v>
      </c>
      <c r="C79" s="325"/>
      <c r="D79" s="325"/>
      <c r="E79" s="1548" t="s">
        <v>671</v>
      </c>
      <c r="F79" s="1549"/>
      <c r="G79" s="325"/>
    </row>
    <row r="80" spans="2:15" s="307" customFormat="1" ht="6" customHeight="1" thickBot="1" x14ac:dyDescent="0.25">
      <c r="B80" s="682"/>
      <c r="C80" s="325"/>
      <c r="D80" s="325"/>
      <c r="E80" s="683"/>
      <c r="F80" s="683"/>
      <c r="G80" s="325"/>
    </row>
    <row r="81" spans="1:9" s="307" customFormat="1" ht="15.75" customHeight="1" thickBot="1" x14ac:dyDescent="0.25">
      <c r="B81" s="682" t="s">
        <v>746</v>
      </c>
      <c r="C81" s="325"/>
      <c r="D81" s="325"/>
      <c r="E81" s="1548" t="s">
        <v>671</v>
      </c>
      <c r="F81" s="1549"/>
      <c r="G81" s="325"/>
    </row>
    <row r="82" spans="1:9" s="307" customFormat="1" ht="11.4" x14ac:dyDescent="0.2">
      <c r="B82" s="325"/>
      <c r="C82" s="325"/>
      <c r="D82" s="325"/>
      <c r="E82" s="325"/>
      <c r="F82" s="325"/>
      <c r="G82" s="325"/>
    </row>
    <row r="83" spans="1:9" s="307" customFormat="1" ht="10.8" thickBot="1" x14ac:dyDescent="0.25"/>
    <row r="84" spans="1:9" s="307" customFormat="1" ht="18.899999999999999" hidden="1" customHeight="1" x14ac:dyDescent="0.25">
      <c r="B84" s="306"/>
      <c r="C84" s="310"/>
      <c r="E84" s="310" t="s">
        <v>611</v>
      </c>
    </row>
    <row r="85" spans="1:9" s="307" customFormat="1" ht="18.899999999999999" hidden="1" customHeight="1" x14ac:dyDescent="0.25">
      <c r="B85" s="306"/>
      <c r="C85" s="310"/>
      <c r="E85" s="310" t="s">
        <v>608</v>
      </c>
    </row>
    <row r="86" spans="1:9" s="307" customFormat="1" ht="18.899999999999999" hidden="1" customHeight="1" x14ac:dyDescent="0.25">
      <c r="B86" s="306"/>
      <c r="C86" s="310"/>
      <c r="E86" s="310" t="s">
        <v>612</v>
      </c>
    </row>
    <row r="87" spans="1:9" s="307" customFormat="1" ht="18.899999999999999" hidden="1" customHeight="1" x14ac:dyDescent="0.25">
      <c r="B87" s="306"/>
      <c r="C87" s="310"/>
      <c r="E87" s="310" t="s">
        <v>609</v>
      </c>
    </row>
    <row r="88" spans="1:9" s="307" customFormat="1" ht="18.899999999999999" hidden="1" customHeight="1" x14ac:dyDescent="0.25">
      <c r="B88" s="306"/>
      <c r="C88" s="310"/>
      <c r="E88" s="310" t="s">
        <v>613</v>
      </c>
    </row>
    <row r="89" spans="1:9" s="307" customFormat="1" ht="18.899999999999999" hidden="1" customHeight="1" thickBot="1" x14ac:dyDescent="0.3">
      <c r="B89" s="306"/>
      <c r="C89" s="310"/>
      <c r="E89" s="310" t="s">
        <v>610</v>
      </c>
    </row>
    <row r="90" spans="1:9" s="307" customFormat="1" ht="18.899999999999999" customHeight="1" thickBot="1" x14ac:dyDescent="0.25">
      <c r="A90" s="310"/>
      <c r="B90" s="320" t="s">
        <v>209</v>
      </c>
      <c r="E90" s="1511"/>
      <c r="F90" s="1560"/>
      <c r="G90" s="1560"/>
      <c r="H90" s="1561"/>
      <c r="I90" s="321" t="s">
        <v>596</v>
      </c>
    </row>
    <row r="91" spans="1:9" s="307" customFormat="1" ht="15.6" customHeight="1" x14ac:dyDescent="0.2"/>
    <row r="92" spans="1:9" s="307" customFormat="1" ht="10.199999999999999" hidden="1" x14ac:dyDescent="0.2">
      <c r="E92" s="679" t="s">
        <v>596</v>
      </c>
    </row>
    <row r="93" spans="1:9" s="307" customFormat="1" ht="10.199999999999999" hidden="1" x14ac:dyDescent="0.2">
      <c r="E93" s="307" t="s">
        <v>738</v>
      </c>
    </row>
    <row r="94" spans="1:9" s="307" customFormat="1" ht="10.199999999999999" hidden="1" x14ac:dyDescent="0.2">
      <c r="E94" s="307" t="s">
        <v>739</v>
      </c>
    </row>
    <row r="95" spans="1:9" s="307" customFormat="1" ht="2.1" customHeight="1" x14ac:dyDescent="0.2">
      <c r="E95" s="307" t="s">
        <v>1682</v>
      </c>
    </row>
    <row r="96" spans="1:9" s="307" customFormat="1" ht="1.5" customHeight="1" x14ac:dyDescent="0.2">
      <c r="E96" s="307" t="s">
        <v>741</v>
      </c>
    </row>
    <row r="97" spans="2:13" s="307" customFormat="1" ht="2.1" customHeight="1" thickBot="1" x14ac:dyDescent="0.25">
      <c r="E97" s="307" t="s">
        <v>740</v>
      </c>
    </row>
    <row r="98" spans="2:13" s="307" customFormat="1" ht="18.899999999999999" customHeight="1" thickBot="1" x14ac:dyDescent="0.25">
      <c r="B98" s="307" t="s">
        <v>212</v>
      </c>
      <c r="E98" s="1564" t="s">
        <v>596</v>
      </c>
      <c r="F98" s="1565"/>
      <c r="G98" s="1566"/>
      <c r="I98" s="680"/>
      <c r="J98" s="678" t="s">
        <v>742</v>
      </c>
    </row>
    <row r="99" spans="2:13" s="307" customFormat="1" ht="15" customHeight="1" thickBot="1" x14ac:dyDescent="0.25"/>
    <row r="100" spans="2:13" s="307" customFormat="1" ht="15" customHeight="1" thickBot="1" x14ac:dyDescent="0.25">
      <c r="D100" s="327"/>
      <c r="E100" s="307" t="s">
        <v>213</v>
      </c>
      <c r="G100" s="1558"/>
      <c r="H100" s="1559"/>
      <c r="I100" s="307" t="s">
        <v>215</v>
      </c>
    </row>
    <row r="101" spans="2:13" s="307" customFormat="1" ht="18.899999999999999" customHeight="1" thickBot="1" x14ac:dyDescent="0.25"/>
    <row r="102" spans="2:13" s="307" customFormat="1" ht="15" customHeight="1" thickBot="1" x14ac:dyDescent="0.25">
      <c r="B102" s="310" t="s">
        <v>169</v>
      </c>
      <c r="E102" s="322"/>
      <c r="F102" s="307" t="s">
        <v>170</v>
      </c>
    </row>
    <row r="103" spans="2:13" ht="23.25" customHeight="1" thickBot="1" x14ac:dyDescent="0.3"/>
    <row r="104" spans="2:13" s="307" customFormat="1" ht="13.5" customHeight="1" thickBot="1" x14ac:dyDescent="0.25">
      <c r="B104" s="307" t="s">
        <v>216</v>
      </c>
      <c r="J104" s="1562" t="s">
        <v>671</v>
      </c>
      <c r="K104" s="1563"/>
      <c r="L104" s="308"/>
    </row>
    <row r="105" spans="2:13" s="307" customFormat="1" ht="13.5" customHeight="1" thickBot="1" x14ac:dyDescent="0.25">
      <c r="B105" s="307" t="s">
        <v>676</v>
      </c>
      <c r="J105" s="1562" t="s">
        <v>671</v>
      </c>
      <c r="K105" s="1563"/>
      <c r="L105" s="1130" t="str">
        <f>IF(J105="Yes","How Many?","")</f>
        <v/>
      </c>
      <c r="M105" s="322" t="str">
        <f>IF(J105="Yes","","N/A")</f>
        <v>N/A</v>
      </c>
    </row>
    <row r="106" spans="2:13" s="307" customFormat="1" ht="13.5" customHeight="1" thickBot="1" x14ac:dyDescent="0.25">
      <c r="B106" s="307" t="s">
        <v>217</v>
      </c>
      <c r="J106" s="1562" t="s">
        <v>671</v>
      </c>
      <c r="K106" s="1563"/>
      <c r="L106" s="308"/>
    </row>
    <row r="107" spans="2:13" s="307" customFormat="1" ht="10.8" thickBot="1" x14ac:dyDescent="0.25">
      <c r="B107" s="307" t="s">
        <v>218</v>
      </c>
    </row>
    <row r="108" spans="2:13" s="307" customFormat="1" ht="50.1" customHeight="1" thickBot="1" x14ac:dyDescent="0.25">
      <c r="C108" s="1553"/>
      <c r="D108" s="1554"/>
      <c r="E108" s="1554"/>
      <c r="F108" s="1554"/>
      <c r="G108" s="1554"/>
      <c r="H108" s="1554"/>
      <c r="I108" s="1554"/>
      <c r="J108" s="1554"/>
      <c r="K108" s="1554"/>
      <c r="L108" s="1555"/>
    </row>
    <row r="109" spans="2:13" ht="13.5" customHeight="1" thickBot="1" x14ac:dyDescent="0.3"/>
    <row r="110" spans="2:13" s="307" customFormat="1" ht="13.5" customHeight="1" thickBot="1" x14ac:dyDescent="0.25">
      <c r="B110" s="307" t="s">
        <v>211</v>
      </c>
      <c r="J110" s="1548" t="s">
        <v>671</v>
      </c>
      <c r="K110" s="1549"/>
      <c r="L110" s="308"/>
    </row>
    <row r="111" spans="2:13" s="307" customFormat="1" ht="11.25" customHeight="1" x14ac:dyDescent="0.2">
      <c r="B111" s="307" t="s">
        <v>173</v>
      </c>
    </row>
    <row r="112" spans="2:13" s="307" customFormat="1" ht="6" customHeight="1" thickBot="1" x14ac:dyDescent="0.25"/>
    <row r="113" spans="2:13" s="307" customFormat="1" ht="50.1" customHeight="1" thickBot="1" x14ac:dyDescent="0.25">
      <c r="C113" s="1553"/>
      <c r="D113" s="1554"/>
      <c r="E113" s="1554"/>
      <c r="F113" s="1554"/>
      <c r="G113" s="1554"/>
      <c r="H113" s="1554"/>
      <c r="I113" s="1554"/>
      <c r="J113" s="1554"/>
      <c r="K113" s="1554"/>
      <c r="L113" s="1555"/>
    </row>
    <row r="114" spans="2:13" ht="13.8" thickBot="1" x14ac:dyDescent="0.3"/>
    <row r="115" spans="2:13" s="307" customFormat="1" ht="12" customHeight="1" thickBot="1" x14ac:dyDescent="0.25">
      <c r="B115" s="307" t="s">
        <v>1</v>
      </c>
      <c r="G115" s="322"/>
      <c r="H115" s="1556" t="s">
        <v>617</v>
      </c>
      <c r="I115" s="1556"/>
      <c r="J115" s="1556"/>
      <c r="K115" s="1556"/>
      <c r="L115" s="1556"/>
    </row>
    <row r="116" spans="2:13" s="307" customFormat="1" ht="6" customHeight="1" thickBot="1" x14ac:dyDescent="0.25">
      <c r="H116" s="1556"/>
      <c r="I116" s="1556"/>
      <c r="J116" s="1556"/>
      <c r="K116" s="1556"/>
      <c r="L116" s="1556"/>
    </row>
    <row r="117" spans="2:13" ht="12" customHeight="1" thickBot="1" x14ac:dyDescent="0.3">
      <c r="B117" s="307" t="s">
        <v>210</v>
      </c>
      <c r="G117" s="322"/>
      <c r="H117" s="1556"/>
      <c r="I117" s="1556"/>
      <c r="J117" s="1556"/>
      <c r="K117" s="1556"/>
      <c r="L117" s="1556"/>
    </row>
    <row r="118" spans="2:13" s="307" customFormat="1" ht="6" customHeight="1" thickBot="1" x14ac:dyDescent="0.25">
      <c r="H118" s="1556"/>
      <c r="I118" s="1556"/>
      <c r="J118" s="1556"/>
      <c r="K118" s="1556"/>
      <c r="L118" s="1556"/>
    </row>
    <row r="119" spans="2:13" ht="12" customHeight="1" thickBot="1" x14ac:dyDescent="0.3">
      <c r="B119" s="307" t="s">
        <v>685</v>
      </c>
      <c r="G119" s="322"/>
      <c r="I119" s="310"/>
    </row>
    <row r="120" spans="2:13" s="307" customFormat="1" ht="6" customHeight="1" thickBot="1" x14ac:dyDescent="0.25">
      <c r="H120" s="1557" t="s">
        <v>620</v>
      </c>
      <c r="I120" s="1557"/>
      <c r="J120" s="1557"/>
      <c r="K120" s="1557"/>
      <c r="L120" s="1557"/>
      <c r="M120" s="1557"/>
    </row>
    <row r="121" spans="2:13" s="307" customFormat="1" ht="12" customHeight="1" thickBot="1" x14ac:dyDescent="0.25">
      <c r="B121" s="307" t="s">
        <v>655</v>
      </c>
      <c r="G121" s="322"/>
      <c r="H121" s="1557"/>
      <c r="I121" s="1557"/>
      <c r="J121" s="1557"/>
      <c r="K121" s="1557"/>
      <c r="L121" s="1557"/>
      <c r="M121" s="1557"/>
    </row>
    <row r="122" spans="2:13" s="307" customFormat="1" ht="6" customHeight="1" thickBot="1" x14ac:dyDescent="0.25">
      <c r="H122" s="1557"/>
      <c r="I122" s="1557"/>
      <c r="J122" s="1557"/>
      <c r="K122" s="1557"/>
      <c r="L122" s="1557"/>
      <c r="M122" s="1557"/>
    </row>
    <row r="123" spans="2:13" s="307" customFormat="1" ht="10.8" thickBot="1" x14ac:dyDescent="0.25">
      <c r="B123" s="307" t="s">
        <v>654</v>
      </c>
      <c r="G123" s="322"/>
      <c r="H123" s="1557"/>
      <c r="I123" s="1557"/>
      <c r="J123" s="1557"/>
      <c r="K123" s="1557"/>
      <c r="L123" s="1557"/>
      <c r="M123" s="1557"/>
    </row>
    <row r="124" spans="2:13" s="307" customFormat="1" ht="6" customHeight="1" thickBot="1" x14ac:dyDescent="0.25"/>
    <row r="125" spans="2:13" s="307" customFormat="1" ht="11.25" customHeight="1" thickBot="1" x14ac:dyDescent="0.25">
      <c r="B125" s="307" t="s">
        <v>595</v>
      </c>
      <c r="J125" s="1562" t="s">
        <v>671</v>
      </c>
      <c r="K125" s="1563"/>
    </row>
    <row r="126" spans="2:13" s="307" customFormat="1" ht="11.25" customHeight="1" x14ac:dyDescent="0.2">
      <c r="B126" s="307" t="s">
        <v>656</v>
      </c>
    </row>
    <row r="127" spans="2:13" s="307" customFormat="1" ht="6" customHeight="1" x14ac:dyDescent="0.2"/>
    <row r="128" spans="2:13" s="307" customFormat="1" ht="10.199999999999999" x14ac:dyDescent="0.2">
      <c r="C128" s="307" t="s">
        <v>2</v>
      </c>
    </row>
    <row r="129" spans="1:12" s="307" customFormat="1" ht="6" customHeight="1" thickBot="1" x14ac:dyDescent="0.25"/>
    <row r="130" spans="1:12" s="307" customFormat="1" ht="75" customHeight="1" thickBot="1" x14ac:dyDescent="0.25">
      <c r="C130" s="1553"/>
      <c r="D130" s="1554"/>
      <c r="E130" s="1554"/>
      <c r="F130" s="1554"/>
      <c r="G130" s="1554"/>
      <c r="H130" s="1554"/>
      <c r="I130" s="1554"/>
      <c r="J130" s="1555"/>
    </row>
    <row r="133" spans="1:12" ht="24" customHeight="1" x14ac:dyDescent="0.25">
      <c r="A133" s="307"/>
      <c r="B133" s="307"/>
      <c r="C133" s="307"/>
      <c r="D133" s="307"/>
      <c r="E133" s="307"/>
      <c r="F133" s="307"/>
      <c r="G133" s="307"/>
      <c r="H133" s="307"/>
      <c r="I133" s="307"/>
      <c r="J133" s="307"/>
      <c r="L133" s="308"/>
    </row>
    <row r="136" spans="1:12" s="307" customFormat="1" ht="10.199999999999999" x14ac:dyDescent="0.2"/>
    <row r="142" spans="1:12" ht="12.75" customHeight="1" x14ac:dyDescent="0.25"/>
    <row r="143" spans="1:12" ht="12.75" customHeight="1" x14ac:dyDescent="0.25"/>
    <row r="144" spans="1:12"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s="307" customFormat="1" ht="12.75" customHeight="1" x14ac:dyDescent="0.2"/>
    <row r="154" ht="12.75" customHeight="1" x14ac:dyDescent="0.25"/>
    <row r="155" ht="12.75" customHeight="1" x14ac:dyDescent="0.25"/>
    <row r="156" ht="12.75" customHeight="1" x14ac:dyDescent="0.25"/>
    <row r="157" ht="12.75" customHeight="1" x14ac:dyDescent="0.25"/>
  </sheetData>
  <sheetProtection algorithmName="SHA-512" hashValue="gOu7LyL1GvoOz1Oxq7Gtv4XQdyp9NN32ZJ+qScclpsI0DJ1FhAWHH+9/jEXupZGFK2rkPzfArk416ONHnZtOFA==" saltValue="UVVj0z82c2N2ahucjBTWiw==" spinCount="100000" sheet="1" objects="1" scenarios="1" selectLockedCells="1"/>
  <mergeCells count="40">
    <mergeCell ref="J36:K36"/>
    <mergeCell ref="J40:K40"/>
    <mergeCell ref="J104:K104"/>
    <mergeCell ref="D4:H4"/>
    <mergeCell ref="D6:I6"/>
    <mergeCell ref="D8:F8"/>
    <mergeCell ref="I10:K10"/>
    <mergeCell ref="B34:K34"/>
    <mergeCell ref="C33:J33"/>
    <mergeCell ref="K50:L50"/>
    <mergeCell ref="C38:J38"/>
    <mergeCell ref="J46:K46"/>
    <mergeCell ref="F71:G71"/>
    <mergeCell ref="F73:G73"/>
    <mergeCell ref="R2:S2"/>
    <mergeCell ref="L4:M4"/>
    <mergeCell ref="C32:J32"/>
    <mergeCell ref="D10:F10"/>
    <mergeCell ref="E12:J12"/>
    <mergeCell ref="E14:J14"/>
    <mergeCell ref="E16:J16"/>
    <mergeCell ref="J31:K31"/>
    <mergeCell ref="E18:G18"/>
    <mergeCell ref="D26:I26"/>
    <mergeCell ref="J110:K110"/>
    <mergeCell ref="D50:F50"/>
    <mergeCell ref="C130:J130"/>
    <mergeCell ref="C113:L113"/>
    <mergeCell ref="C108:L108"/>
    <mergeCell ref="H115:L118"/>
    <mergeCell ref="H120:M123"/>
    <mergeCell ref="G100:H100"/>
    <mergeCell ref="E90:H90"/>
    <mergeCell ref="J125:K125"/>
    <mergeCell ref="E98:G98"/>
    <mergeCell ref="B61:L61"/>
    <mergeCell ref="E79:F79"/>
    <mergeCell ref="E81:F81"/>
    <mergeCell ref="J105:K105"/>
    <mergeCell ref="J106:K106"/>
  </mergeCells>
  <phoneticPr fontId="11" type="noConversion"/>
  <dataValidations count="11">
    <dataValidation type="list" allowBlank="1" showInputMessage="1" showErrorMessage="1" sqref="E90" xr:uid="{00000000-0002-0000-0A00-000000000000}">
      <formula1>$E$84:$E$89</formula1>
    </dataValidation>
    <dataValidation type="list" allowBlank="1" showInputMessage="1" showErrorMessage="1" sqref="D26" xr:uid="{00000000-0002-0000-0A00-000001000000}">
      <formula1>$E$20:$E$25</formula1>
    </dataValidation>
    <dataValidation type="list" allowBlank="1" showInputMessage="1" showErrorMessage="1" sqref="J46:K46 J110:K110 K50:L50 L4:M4 F73:G73 F71:G71 J31:K31 J125:K125 J104:K106 J40:K40 J36:K36 E80:F80" xr:uid="{00000000-0002-0000-0A00-000002000000}">
      <formula1>$J$43:$J$45</formula1>
    </dataValidation>
    <dataValidation type="list" allowBlank="1" showInputMessage="1" showErrorMessage="1" sqref="E98:G98" xr:uid="{00000000-0002-0000-0A00-000003000000}">
      <formula1>$E$92:$E$97</formula1>
    </dataValidation>
    <dataValidation type="list" allowBlank="1" showInputMessage="1" showErrorMessage="1" sqref="B61:L61" xr:uid="{00000000-0002-0000-0A00-000004000000}">
      <formula1>$B$58:$B$60</formula1>
    </dataValidation>
    <dataValidation type="list" allowBlank="1" showInputMessage="1" showErrorMessage="1" sqref="J71" xr:uid="{00000000-0002-0000-0A00-000005000000}">
      <formula1>$J$68:$J$70</formula1>
    </dataValidation>
    <dataValidation type="list" allowBlank="1" showInputMessage="1" showErrorMessage="1" sqref="L71" xr:uid="{00000000-0002-0000-0A00-000006000000}">
      <formula1>$L$68:$L$70</formula1>
    </dataValidation>
    <dataValidation type="list" allowBlank="1" showInputMessage="1" showErrorMessage="1" sqref="O28:O29 O34" xr:uid="{00000000-0002-0000-0A00-000007000000}">
      <formula1>$O$18:$O$90</formula1>
    </dataValidation>
    <dataValidation type="list" allowBlank="1" showInputMessage="1" showErrorMessage="1" sqref="L6" xr:uid="{00000000-0002-0000-0A00-000008000000}">
      <formula1>"Yes, No"</formula1>
    </dataValidation>
    <dataValidation type="list" allowBlank="1" showInputMessage="1" showErrorMessage="1" sqref="E79:F79 E81:F81" xr:uid="{00000000-0002-0000-0A00-00000A000000}">
      <formula1>"Yes, No, N/A"</formula1>
    </dataValidation>
    <dataValidation type="list" allowBlank="1" showInputMessage="1" showErrorMessage="1" sqref="D10:F10" xr:uid="{EB34E6BB-1FB3-4195-B2CB-07E608CEED40}">
      <formula1>"Androscoggin, Aroostook, Cumberland, Franklin, Hancock, Kennebec, Knox, Lincoln, Oxford, Penobscot, Piscataquis, Sagadahoc, Somerset, Waldo, Washington, York"</formula1>
    </dataValidation>
  </dataValidations>
  <printOptions horizontalCentered="1"/>
  <pageMargins left="0.17" right="0.19" top="0.5" bottom="0.25" header="0.5" footer="0.5"/>
  <pageSetup scale="91" orientation="portrait" r:id="rId1"/>
  <headerFooter alignWithMargins="0"/>
  <rowBreaks count="1" manualBreakCount="1">
    <brk id="74" max="12" man="1"/>
  </rowBreaks>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80" r:id="rId4" name="Check Box 32">
              <controlPr locked="0" defaultSize="0" autoFill="0" autoLine="0" autoPict="0">
                <anchor moveWithCells="1">
                  <from>
                    <xdr:col>7</xdr:col>
                    <xdr:colOff>7620</xdr:colOff>
                    <xdr:row>47</xdr:row>
                    <xdr:rowOff>0</xdr:rowOff>
                  </from>
                  <to>
                    <xdr:col>7</xdr:col>
                    <xdr:colOff>7620</xdr:colOff>
                    <xdr:row>48</xdr:row>
                    <xdr:rowOff>68580</xdr:rowOff>
                  </to>
                </anchor>
              </controlPr>
            </control>
          </mc:Choice>
        </mc:AlternateContent>
        <mc:AlternateContent xmlns:mc="http://schemas.openxmlformats.org/markup-compatibility/2006">
          <mc:Choice Requires="x14">
            <control shapeId="2081" r:id="rId5" name="Check Box 33">
              <controlPr locked="0" defaultSize="0" autoFill="0" autoLine="0" autoPict="0">
                <anchor moveWithCells="1">
                  <from>
                    <xdr:col>7</xdr:col>
                    <xdr:colOff>22860</xdr:colOff>
                    <xdr:row>47</xdr:row>
                    <xdr:rowOff>0</xdr:rowOff>
                  </from>
                  <to>
                    <xdr:col>7</xdr:col>
                    <xdr:colOff>22860</xdr:colOff>
                    <xdr:row>48</xdr:row>
                    <xdr:rowOff>60960</xdr:rowOff>
                  </to>
                </anchor>
              </controlPr>
            </control>
          </mc:Choice>
        </mc:AlternateContent>
        <mc:AlternateContent xmlns:mc="http://schemas.openxmlformats.org/markup-compatibility/2006">
          <mc:Choice Requires="x14">
            <control shapeId="2083" r:id="rId6" name="Check Box 35">
              <controlPr locked="0" defaultSize="0" autoFill="0" autoLine="0" autoPict="0">
                <anchor moveWithCells="1">
                  <from>
                    <xdr:col>7</xdr:col>
                    <xdr:colOff>0</xdr:colOff>
                    <xdr:row>47</xdr:row>
                    <xdr:rowOff>137160</xdr:rowOff>
                  </from>
                  <to>
                    <xdr:col>7</xdr:col>
                    <xdr:colOff>0</xdr:colOff>
                    <xdr:row>49</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6F586325F1554BB0BDA30AD979ABB4" ma:contentTypeVersion="12" ma:contentTypeDescription="Create a new document." ma:contentTypeScope="" ma:versionID="1d4501c4e0d699ef2d940b12c1a9c8c8">
  <xsd:schema xmlns:xsd="http://www.w3.org/2001/XMLSchema" xmlns:xs="http://www.w3.org/2001/XMLSchema" xmlns:p="http://schemas.microsoft.com/office/2006/metadata/properties" xmlns:ns2="293fe13a-4a1e-4596-9e46-0d8ff05c5593" xmlns:ns3="18ad59e0-d39d-42c1-8120-a07e0eecf744" targetNamespace="http://schemas.microsoft.com/office/2006/metadata/properties" ma:root="true" ma:fieldsID="8635b787025433d6c45f745aad190077" ns2:_="" ns3:_="">
    <xsd:import namespace="293fe13a-4a1e-4596-9e46-0d8ff05c5593"/>
    <xsd:import namespace="18ad59e0-d39d-42c1-8120-a07e0eecf7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3fe13a-4a1e-4596-9e46-0d8ff05c559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ad59e0-d39d-42c1-8120-a07e0eecf74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54ED05-5349-471F-A32E-8406A0C91064}">
  <ds:schemaRefs>
    <ds:schemaRef ds:uri="http://schemas.microsoft.com/sharepoint/v3/contenttype/forms"/>
  </ds:schemaRefs>
</ds:datastoreItem>
</file>

<file path=customXml/itemProps2.xml><?xml version="1.0" encoding="utf-8"?>
<ds:datastoreItem xmlns:ds="http://schemas.openxmlformats.org/officeDocument/2006/customXml" ds:itemID="{406A1A2D-4AAF-4CCB-A71A-99B5FB0A3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3fe13a-4a1e-4596-9e46-0d8ff05c5593"/>
    <ds:schemaRef ds:uri="18ad59e0-d39d-42c1-8120-a07e0eecf7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69E2FB-FFEF-46FA-BE37-D3D6B5FA2372}">
  <ds:schemaRefs>
    <ds:schemaRef ds:uri="http://purl.org/dc/terms/"/>
    <ds:schemaRef ds:uri="18ad59e0-d39d-42c1-8120-a07e0eecf744"/>
    <ds:schemaRef ds:uri="293fe13a-4a1e-4596-9e46-0d8ff05c5593"/>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1023</vt:i4>
      </vt:variant>
    </vt:vector>
  </HeadingPairs>
  <TitlesOfParts>
    <vt:vector size="1056" baseType="lpstr">
      <vt:lpstr>Pre-app Cover</vt:lpstr>
      <vt:lpstr>Cover</vt:lpstr>
      <vt:lpstr>Fee Schedule</vt:lpstr>
      <vt:lpstr>Certification</vt:lpstr>
      <vt:lpstr>Scoring Criteria Calculations</vt:lpstr>
      <vt:lpstr>Applicant Information</vt:lpstr>
      <vt:lpstr>Conflict of Interest</vt:lpstr>
      <vt:lpstr>Tax Credit Compliance</vt:lpstr>
      <vt:lpstr>Project Information</vt:lpstr>
      <vt:lpstr>Additional Prj Information</vt:lpstr>
      <vt:lpstr>Building Summary</vt:lpstr>
      <vt:lpstr>Current Rent Roll</vt:lpstr>
      <vt:lpstr>Proposed Rent Roll</vt:lpstr>
      <vt:lpstr>Project Income &amp; UA</vt:lpstr>
      <vt:lpstr>Operating Budget</vt:lpstr>
      <vt:lpstr>Additional Op Ex Information</vt:lpstr>
      <vt:lpstr>Construction Costs</vt:lpstr>
      <vt:lpstr>Project Costs &amp; Basis</vt:lpstr>
      <vt:lpstr>Additional Prj Cost Information</vt:lpstr>
      <vt:lpstr>TDC per Unit</vt:lpstr>
      <vt:lpstr>Tax Credit Calculations</vt:lpstr>
      <vt:lpstr>Sources</vt:lpstr>
      <vt:lpstr>NPV-PV calculations</vt:lpstr>
      <vt:lpstr>Project Completion Sch</vt:lpstr>
      <vt:lpstr>MH Underwriting</vt:lpstr>
      <vt:lpstr>TxCr</vt:lpstr>
      <vt:lpstr>Tax Credit Calc</vt:lpstr>
      <vt:lpstr>Fed Home &amp; Match</vt:lpstr>
      <vt:lpstr>Amortization Schedules</vt:lpstr>
      <vt:lpstr>Sheet1</vt:lpstr>
      <vt:lpstr>Mapping</vt:lpstr>
      <vt:lpstr>SD_Dropdowns</vt:lpstr>
      <vt:lpstr>FedHOME &amp; HTF Cost Allocation</vt:lpstr>
      <vt:lpstr>Certification!No</vt:lpstr>
      <vt:lpstr>'Fee Schedule'!No</vt:lpstr>
      <vt:lpstr>'Additional Op Ex Information'!Print_Area</vt:lpstr>
      <vt:lpstr>'Additional Prj Cost Information'!Print_Area</vt:lpstr>
      <vt:lpstr>'Additional Prj Information'!Print_Area</vt:lpstr>
      <vt:lpstr>'Amortization Schedules'!Print_Area</vt:lpstr>
      <vt:lpstr>'Applicant Information'!Print_Area</vt:lpstr>
      <vt:lpstr>'Building Summary'!Print_Area</vt:lpstr>
      <vt:lpstr>Certification!Print_Area</vt:lpstr>
      <vt:lpstr>'Conflict of Interest'!Print_Area</vt:lpstr>
      <vt:lpstr>'Construction Costs'!Print_Area</vt:lpstr>
      <vt:lpstr>'Current Rent Roll'!Print_Area</vt:lpstr>
      <vt:lpstr>'FedHOME &amp; HTF Cost Allocation'!Print_Area</vt:lpstr>
      <vt:lpstr>'Fee Schedule'!Print_Area</vt:lpstr>
      <vt:lpstr>'MH Underwriting'!Print_Area</vt:lpstr>
      <vt:lpstr>'Operating Budget'!Print_Area</vt:lpstr>
      <vt:lpstr>'Project Completion Sch'!Print_Area</vt:lpstr>
      <vt:lpstr>'Project Costs &amp; Basis'!Print_Area</vt:lpstr>
      <vt:lpstr>'Project Information'!Print_Area</vt:lpstr>
      <vt:lpstr>'Proposed Rent Roll'!Print_Area</vt:lpstr>
      <vt:lpstr>'Scoring Criteria Calculations'!Print_Area</vt:lpstr>
      <vt:lpstr>Sources!Print_Area</vt:lpstr>
      <vt:lpstr>'Tax Credit Calc'!Print_Area</vt:lpstr>
      <vt:lpstr>'Tax Credit Calculations'!Print_Area</vt:lpstr>
      <vt:lpstr>'Tax Credit Compliance'!Print_Area</vt:lpstr>
      <vt:lpstr>'TDC per Unit'!Print_Area</vt:lpstr>
      <vt:lpstr>'Amortization Schedules'!Print_Titles</vt:lpstr>
      <vt:lpstr>Mapping!SD_138_S_1</vt:lpstr>
      <vt:lpstr>Mapping!SD_161x1_17_S_0</vt:lpstr>
      <vt:lpstr>Mapping!SD_161x1_19_S_0</vt:lpstr>
      <vt:lpstr>Mapping!SD_161x1_26_S_0</vt:lpstr>
      <vt:lpstr>Mapping!SD_161x1_2935x1_2951x1_109_S_1</vt:lpstr>
      <vt:lpstr>Mapping!SD_161x1_2935x1_2951x1_52_S_0</vt:lpstr>
      <vt:lpstr>Mapping!SD_161x1_2935x1_2951x1_54_S_0</vt:lpstr>
      <vt:lpstr>Mapping!SD_161x1_2935x1_2951x1_91_S_1</vt:lpstr>
      <vt:lpstr>Mapping!SD_161x1_2935x1_2951x10_109_S_1</vt:lpstr>
      <vt:lpstr>Mapping!SD_161x1_2935x1_2951x10_52_S_0</vt:lpstr>
      <vt:lpstr>Mapping!SD_161x1_2935x1_2951x10_54_S_0</vt:lpstr>
      <vt:lpstr>Mapping!SD_161x1_2935x1_2951x10_91_S_1</vt:lpstr>
      <vt:lpstr>Mapping!SD_161x1_2935x1_2951x11_109_S_1</vt:lpstr>
      <vt:lpstr>Mapping!SD_161x1_2935x1_2951x11_52_S_0</vt:lpstr>
      <vt:lpstr>Mapping!SD_161x1_2935x1_2951x11_54_S_0</vt:lpstr>
      <vt:lpstr>Mapping!SD_161x1_2935x1_2951x11_91_S_1</vt:lpstr>
      <vt:lpstr>Mapping!SD_161x1_2935x1_2951x12_109_S_1</vt:lpstr>
      <vt:lpstr>Mapping!SD_161x1_2935x1_2951x12_52_S_0</vt:lpstr>
      <vt:lpstr>Mapping!SD_161x1_2935x1_2951x12_54_S_0</vt:lpstr>
      <vt:lpstr>Mapping!SD_161x1_2935x1_2951x12_91_S_1</vt:lpstr>
      <vt:lpstr>Mapping!SD_161x1_2935x1_2951x13_109_S_1</vt:lpstr>
      <vt:lpstr>Mapping!SD_161x1_2935x1_2951x13_52_S_0</vt:lpstr>
      <vt:lpstr>Mapping!SD_161x1_2935x1_2951x13_54_S_0</vt:lpstr>
      <vt:lpstr>Mapping!SD_161x1_2935x1_2951x13_91_S_1</vt:lpstr>
      <vt:lpstr>Mapping!SD_161x1_2935x1_2951x14_109_S_1</vt:lpstr>
      <vt:lpstr>Mapping!SD_161x1_2935x1_2951x14_52_S_0</vt:lpstr>
      <vt:lpstr>Mapping!SD_161x1_2935x1_2951x14_54_S_0</vt:lpstr>
      <vt:lpstr>Mapping!SD_161x1_2935x1_2951x14_91_S_1</vt:lpstr>
      <vt:lpstr>Mapping!SD_161x1_2935x1_2951x15_109_S_1</vt:lpstr>
      <vt:lpstr>Mapping!SD_161x1_2935x1_2951x15_52_S_0</vt:lpstr>
      <vt:lpstr>Mapping!SD_161x1_2935x1_2951x15_54_S_0</vt:lpstr>
      <vt:lpstr>Mapping!SD_161x1_2935x1_2951x15_91_S_1</vt:lpstr>
      <vt:lpstr>Mapping!SD_161x1_2935x1_2951x16_109_S_1</vt:lpstr>
      <vt:lpstr>Mapping!SD_161x1_2935x1_2951x16_52_S_0</vt:lpstr>
      <vt:lpstr>Mapping!SD_161x1_2935x1_2951x16_54_S_0</vt:lpstr>
      <vt:lpstr>Mapping!SD_161x1_2935x1_2951x16_91_S_1</vt:lpstr>
      <vt:lpstr>Mapping!SD_161x1_2935x1_2951x17_109_S_1</vt:lpstr>
      <vt:lpstr>Mapping!SD_161x1_2935x1_2951x17_52_S_0</vt:lpstr>
      <vt:lpstr>Mapping!SD_161x1_2935x1_2951x17_54_S_0</vt:lpstr>
      <vt:lpstr>Mapping!SD_161x1_2935x1_2951x17_91_S_1</vt:lpstr>
      <vt:lpstr>Mapping!SD_161x1_2935x1_2951x18_109_S_1</vt:lpstr>
      <vt:lpstr>Mapping!SD_161x1_2935x1_2951x18_52_S_0</vt:lpstr>
      <vt:lpstr>Mapping!SD_161x1_2935x1_2951x18_54_S_0</vt:lpstr>
      <vt:lpstr>Mapping!SD_161x1_2935x1_2951x18_91_S_1</vt:lpstr>
      <vt:lpstr>Mapping!SD_161x1_2935x1_2951x19_109_S_1</vt:lpstr>
      <vt:lpstr>Mapping!SD_161x1_2935x1_2951x19_52_S_0</vt:lpstr>
      <vt:lpstr>Mapping!SD_161x1_2935x1_2951x19_54_S_0</vt:lpstr>
      <vt:lpstr>Mapping!SD_161x1_2935x1_2951x19_91_S_1</vt:lpstr>
      <vt:lpstr>Mapping!SD_161x1_2935x1_2951x2_109_S_1</vt:lpstr>
      <vt:lpstr>Mapping!SD_161x1_2935x1_2951x2_52_S_0</vt:lpstr>
      <vt:lpstr>Mapping!SD_161x1_2935x1_2951x2_54_S_0</vt:lpstr>
      <vt:lpstr>Mapping!SD_161x1_2935x1_2951x2_91_S_1</vt:lpstr>
      <vt:lpstr>Mapping!SD_161x1_2935x1_2951x20_109_S_1</vt:lpstr>
      <vt:lpstr>Mapping!SD_161x1_2935x1_2951x20_52_S_0</vt:lpstr>
      <vt:lpstr>Mapping!SD_161x1_2935x1_2951x20_54_S_0</vt:lpstr>
      <vt:lpstr>Mapping!SD_161x1_2935x1_2951x20_91_S_1</vt:lpstr>
      <vt:lpstr>Mapping!SD_161x1_2935x1_2951x21_109_S_1</vt:lpstr>
      <vt:lpstr>Mapping!SD_161x1_2935x1_2951x21_52_S_0</vt:lpstr>
      <vt:lpstr>Mapping!SD_161x1_2935x1_2951x21_54_S_0</vt:lpstr>
      <vt:lpstr>Mapping!SD_161x1_2935x1_2951x21_91_S_1</vt:lpstr>
      <vt:lpstr>Mapping!SD_161x1_2935x1_2951x22_109_S_1</vt:lpstr>
      <vt:lpstr>Mapping!SD_161x1_2935x1_2951x22_52_S_0</vt:lpstr>
      <vt:lpstr>Mapping!SD_161x1_2935x1_2951x22_54_S_0</vt:lpstr>
      <vt:lpstr>Mapping!SD_161x1_2935x1_2951x22_91_S_1</vt:lpstr>
      <vt:lpstr>Mapping!SD_161x1_2935x1_2951x23_109_S_1</vt:lpstr>
      <vt:lpstr>Mapping!SD_161x1_2935x1_2951x23_52_S_0</vt:lpstr>
      <vt:lpstr>Mapping!SD_161x1_2935x1_2951x23_54_S_0</vt:lpstr>
      <vt:lpstr>Mapping!SD_161x1_2935x1_2951x23_91_S_1</vt:lpstr>
      <vt:lpstr>Mapping!SD_161x1_2935x1_2951x3_109_S_1</vt:lpstr>
      <vt:lpstr>Mapping!SD_161x1_2935x1_2951x3_52_S_0</vt:lpstr>
      <vt:lpstr>Mapping!SD_161x1_2935x1_2951x3_54_S_0</vt:lpstr>
      <vt:lpstr>Mapping!SD_161x1_2935x1_2951x3_91_S_1</vt:lpstr>
      <vt:lpstr>Mapping!SD_161x1_2935x1_2951x4_109_S_1</vt:lpstr>
      <vt:lpstr>Mapping!SD_161x1_2935x1_2951x4_52_S_0</vt:lpstr>
      <vt:lpstr>Mapping!SD_161x1_2935x1_2951x4_54_S_0</vt:lpstr>
      <vt:lpstr>Mapping!SD_161x1_2935x1_2951x4_91_S_1</vt:lpstr>
      <vt:lpstr>Mapping!SD_161x1_2935x1_2951x5_109_S_1</vt:lpstr>
      <vt:lpstr>Mapping!SD_161x1_2935x1_2951x5_52_S_0</vt:lpstr>
      <vt:lpstr>Mapping!SD_161x1_2935x1_2951x5_54_S_0</vt:lpstr>
      <vt:lpstr>Mapping!SD_161x1_2935x1_2951x5_91_S_1</vt:lpstr>
      <vt:lpstr>Mapping!SD_161x1_2935x1_2951x6_109_S_1</vt:lpstr>
      <vt:lpstr>Mapping!SD_161x1_2935x1_2951x6_52_S_0</vt:lpstr>
      <vt:lpstr>Mapping!SD_161x1_2935x1_2951x6_54_S_0</vt:lpstr>
      <vt:lpstr>Mapping!SD_161x1_2935x1_2951x6_91_S_1</vt:lpstr>
      <vt:lpstr>Mapping!SD_161x1_2935x1_2951x7_109_S_1</vt:lpstr>
      <vt:lpstr>Mapping!SD_161x1_2935x1_2951x7_52_S_0</vt:lpstr>
      <vt:lpstr>Mapping!SD_161x1_2935x1_2951x7_54_S_0</vt:lpstr>
      <vt:lpstr>Mapping!SD_161x1_2935x1_2951x7_91_S_1</vt:lpstr>
      <vt:lpstr>Mapping!SD_161x1_2935x1_2951x8_109_S_1</vt:lpstr>
      <vt:lpstr>Mapping!SD_161x1_2935x1_2951x8_52_S_0</vt:lpstr>
      <vt:lpstr>Mapping!SD_161x1_2935x1_2951x8_54_S_0</vt:lpstr>
      <vt:lpstr>Mapping!SD_161x1_2935x1_2951x8_91_S_1</vt:lpstr>
      <vt:lpstr>Mapping!SD_161x1_2935x1_2951x9_109_S_1</vt:lpstr>
      <vt:lpstr>Mapping!SD_161x1_2935x1_2951x9_52_S_0</vt:lpstr>
      <vt:lpstr>Mapping!SD_161x1_2935x1_2951x9_54_S_0</vt:lpstr>
      <vt:lpstr>Mapping!SD_161x1_2935x1_2951x9_91_S_1</vt:lpstr>
      <vt:lpstr>Mapping!SD_161x1_40_S_0</vt:lpstr>
      <vt:lpstr>Mapping!SD_161x1_48_S_0</vt:lpstr>
      <vt:lpstr>Mapping!SD_161x1_78_S_1</vt:lpstr>
      <vt:lpstr>Mapping!SD_161x1_81_S_1</vt:lpstr>
      <vt:lpstr>Mapping!SD_2349x1_17_S_1</vt:lpstr>
      <vt:lpstr>Mapping!SD_2349x1_21_S_0</vt:lpstr>
      <vt:lpstr>Mapping!SD_2349x1_5_S_0</vt:lpstr>
      <vt:lpstr>Mapping!SD_2349x1_6_S_0</vt:lpstr>
      <vt:lpstr>Mapping!SD_2349x2_17_S_1</vt:lpstr>
      <vt:lpstr>Mapping!SD_2349x2_21_S_0</vt:lpstr>
      <vt:lpstr>Mapping!SD_2349x2_5_S_0</vt:lpstr>
      <vt:lpstr>Mapping!SD_2349x2_6_S_0</vt:lpstr>
      <vt:lpstr>Mapping!SD_2349x3_17_S_1</vt:lpstr>
      <vt:lpstr>Mapping!SD_2349x3_21_S_0</vt:lpstr>
      <vt:lpstr>Mapping!SD_2349x3_5_S_0</vt:lpstr>
      <vt:lpstr>Mapping!SD_2349x3_6_S_0</vt:lpstr>
      <vt:lpstr>Mapping!SD_2349x4_17_S_1</vt:lpstr>
      <vt:lpstr>Mapping!SD_2349x4_21_S_0</vt:lpstr>
      <vt:lpstr>Mapping!SD_2349x4_5_S_0</vt:lpstr>
      <vt:lpstr>Mapping!SD_2349x4_6_S_0</vt:lpstr>
      <vt:lpstr>Mapping!SD_2357x1_39_S_1</vt:lpstr>
      <vt:lpstr>Mapping!SD_2357x1_5_S_0</vt:lpstr>
      <vt:lpstr>Mapping!SD_2357x1_6_S_0</vt:lpstr>
      <vt:lpstr>Mapping!SD_2357x1_61_S_1</vt:lpstr>
      <vt:lpstr>Mapping!SD_2357x1_7_S_0</vt:lpstr>
      <vt:lpstr>'MH Underwriting'!SD_2357x1_71_G_1</vt:lpstr>
      <vt:lpstr>Mapping!SD_2357x10_39_S_1</vt:lpstr>
      <vt:lpstr>Mapping!SD_2357x10_5_S_0</vt:lpstr>
      <vt:lpstr>Mapping!SD_2357x10_6_S_0</vt:lpstr>
      <vt:lpstr>Mapping!SD_2357x10_61_S_1</vt:lpstr>
      <vt:lpstr>Mapping!SD_2357x10_7_S_0</vt:lpstr>
      <vt:lpstr>Mapping!SD_2357x11_39_S_1</vt:lpstr>
      <vt:lpstr>Mapping!SD_2357x11_5_S_0</vt:lpstr>
      <vt:lpstr>Mapping!SD_2357x11_6_S_0</vt:lpstr>
      <vt:lpstr>Mapping!SD_2357x11_61_S_1</vt:lpstr>
      <vt:lpstr>Mapping!SD_2357x11_7_S_0</vt:lpstr>
      <vt:lpstr>Mapping!SD_2357x12_39_S_1</vt:lpstr>
      <vt:lpstr>Mapping!SD_2357x12_5_S_0</vt:lpstr>
      <vt:lpstr>Mapping!SD_2357x12_6_S_0</vt:lpstr>
      <vt:lpstr>Mapping!SD_2357x12_61_S_1</vt:lpstr>
      <vt:lpstr>Mapping!SD_2357x12_7_S_0</vt:lpstr>
      <vt:lpstr>Mapping!SD_2357x13_39_S_1</vt:lpstr>
      <vt:lpstr>Mapping!SD_2357x13_5_S_0</vt:lpstr>
      <vt:lpstr>Mapping!SD_2357x13_6_S_0</vt:lpstr>
      <vt:lpstr>Mapping!SD_2357x13_61_S_1</vt:lpstr>
      <vt:lpstr>Mapping!SD_2357x13_7_S_0</vt:lpstr>
      <vt:lpstr>Mapping!SD_2357x14_39_S_1</vt:lpstr>
      <vt:lpstr>Mapping!SD_2357x14_5_S_0</vt:lpstr>
      <vt:lpstr>Mapping!SD_2357x14_6_S_0</vt:lpstr>
      <vt:lpstr>Mapping!SD_2357x14_61_S_1</vt:lpstr>
      <vt:lpstr>Mapping!SD_2357x14_7_S_0</vt:lpstr>
      <vt:lpstr>Mapping!SD_2357x15_39_S_1</vt:lpstr>
      <vt:lpstr>Mapping!SD_2357x15_5_S_0</vt:lpstr>
      <vt:lpstr>Mapping!SD_2357x15_6_S_0</vt:lpstr>
      <vt:lpstr>Mapping!SD_2357x15_61_S_1</vt:lpstr>
      <vt:lpstr>Mapping!SD_2357x15_7_S_0</vt:lpstr>
      <vt:lpstr>Mapping!SD_2357x16_39_S_1</vt:lpstr>
      <vt:lpstr>Mapping!SD_2357x16_5_S_0</vt:lpstr>
      <vt:lpstr>Mapping!SD_2357x16_6_S_0</vt:lpstr>
      <vt:lpstr>Mapping!SD_2357x16_61_S_1</vt:lpstr>
      <vt:lpstr>Mapping!SD_2357x16_7_S_0</vt:lpstr>
      <vt:lpstr>Mapping!SD_2357x17_39_S_1</vt:lpstr>
      <vt:lpstr>Mapping!SD_2357x17_5_S_0</vt:lpstr>
      <vt:lpstr>Mapping!SD_2357x17_6_S_0</vt:lpstr>
      <vt:lpstr>Mapping!SD_2357x17_61_S_1</vt:lpstr>
      <vt:lpstr>Mapping!SD_2357x17_7_S_0</vt:lpstr>
      <vt:lpstr>Mapping!SD_2357x18_39_S_1</vt:lpstr>
      <vt:lpstr>Mapping!SD_2357x18_5_S_0</vt:lpstr>
      <vt:lpstr>Mapping!SD_2357x18_6_S_0</vt:lpstr>
      <vt:lpstr>Mapping!SD_2357x18_61_S_1</vt:lpstr>
      <vt:lpstr>Mapping!SD_2357x18_7_S_0</vt:lpstr>
      <vt:lpstr>Mapping!SD_2357x19_39_S_1</vt:lpstr>
      <vt:lpstr>Mapping!SD_2357x19_5_S_0</vt:lpstr>
      <vt:lpstr>Mapping!SD_2357x19_6_S_0</vt:lpstr>
      <vt:lpstr>Mapping!SD_2357x19_61_S_1</vt:lpstr>
      <vt:lpstr>Mapping!SD_2357x19_7_S_0</vt:lpstr>
      <vt:lpstr>Mapping!SD_2357x2_39_S_1</vt:lpstr>
      <vt:lpstr>Mapping!SD_2357x2_5_S_0</vt:lpstr>
      <vt:lpstr>Mapping!SD_2357x2_6_S_0</vt:lpstr>
      <vt:lpstr>Mapping!SD_2357x2_61_S_1</vt:lpstr>
      <vt:lpstr>Mapping!SD_2357x2_7_S_0</vt:lpstr>
      <vt:lpstr>Mapping!SD_2357x20_39_S_1</vt:lpstr>
      <vt:lpstr>Mapping!SD_2357x20_5_S_0</vt:lpstr>
      <vt:lpstr>Mapping!SD_2357x20_6_S_0</vt:lpstr>
      <vt:lpstr>Mapping!SD_2357x20_61_S_1</vt:lpstr>
      <vt:lpstr>Mapping!SD_2357x20_7_S_0</vt:lpstr>
      <vt:lpstr>Mapping!SD_2357x21_39_S_1</vt:lpstr>
      <vt:lpstr>Mapping!SD_2357x21_5_S_0</vt:lpstr>
      <vt:lpstr>Mapping!SD_2357x21_6_S_0</vt:lpstr>
      <vt:lpstr>Mapping!SD_2357x21_61_S_1</vt:lpstr>
      <vt:lpstr>Mapping!SD_2357x21_7_S_0</vt:lpstr>
      <vt:lpstr>Mapping!SD_2357x3_39_S_1</vt:lpstr>
      <vt:lpstr>Mapping!SD_2357x3_5_S_0</vt:lpstr>
      <vt:lpstr>Mapping!SD_2357x3_6_S_0</vt:lpstr>
      <vt:lpstr>Mapping!SD_2357x3_61_S_1</vt:lpstr>
      <vt:lpstr>Mapping!SD_2357x3_7_S_0</vt:lpstr>
      <vt:lpstr>Mapping!SD_2357x4_39_S_1</vt:lpstr>
      <vt:lpstr>Mapping!SD_2357x4_5_S_0</vt:lpstr>
      <vt:lpstr>Mapping!SD_2357x4_6_S_0</vt:lpstr>
      <vt:lpstr>Mapping!SD_2357x4_61_S_1</vt:lpstr>
      <vt:lpstr>Mapping!SD_2357x4_7_S_0</vt:lpstr>
      <vt:lpstr>Mapping!SD_2357x5_39_S_1</vt:lpstr>
      <vt:lpstr>Mapping!SD_2357x5_5_S_0</vt:lpstr>
      <vt:lpstr>Mapping!SD_2357x5_6_S_0</vt:lpstr>
      <vt:lpstr>Mapping!SD_2357x5_61_S_1</vt:lpstr>
      <vt:lpstr>Mapping!SD_2357x5_7_S_0</vt:lpstr>
      <vt:lpstr>Mapping!SD_2357x6_39_S_1</vt:lpstr>
      <vt:lpstr>Mapping!SD_2357x6_5_S_0</vt:lpstr>
      <vt:lpstr>Mapping!SD_2357x6_6_S_0</vt:lpstr>
      <vt:lpstr>Mapping!SD_2357x6_61_S_1</vt:lpstr>
      <vt:lpstr>Mapping!SD_2357x6_7_S_0</vt:lpstr>
      <vt:lpstr>Mapping!SD_2357x7_39_S_1</vt:lpstr>
      <vt:lpstr>Mapping!SD_2357x7_5_S_0</vt:lpstr>
      <vt:lpstr>Mapping!SD_2357x7_6_S_0</vt:lpstr>
      <vt:lpstr>Mapping!SD_2357x7_61_S_1</vt:lpstr>
      <vt:lpstr>Mapping!SD_2357x7_7_S_0</vt:lpstr>
      <vt:lpstr>Mapping!SD_2357x8_39_S_1</vt:lpstr>
      <vt:lpstr>Mapping!SD_2357x8_5_S_0</vt:lpstr>
      <vt:lpstr>Mapping!SD_2357x8_6_S_0</vt:lpstr>
      <vt:lpstr>Mapping!SD_2357x8_61_S_1</vt:lpstr>
      <vt:lpstr>Mapping!SD_2357x8_7_S_0</vt:lpstr>
      <vt:lpstr>Mapping!SD_2357x9_39_S_1</vt:lpstr>
      <vt:lpstr>Mapping!SD_2357x9_5_S_0</vt:lpstr>
      <vt:lpstr>Mapping!SD_2357x9_6_S_0</vt:lpstr>
      <vt:lpstr>Mapping!SD_2357x9_61_S_1</vt:lpstr>
      <vt:lpstr>Mapping!SD_2357x9_7_S_0</vt:lpstr>
      <vt:lpstr>Mapping!SD_3946x1_100_B_0</vt:lpstr>
      <vt:lpstr>Mapping!SD_3946x1_109_S_0</vt:lpstr>
      <vt:lpstr>Mapping!SD_3946x1_110_S_0</vt:lpstr>
      <vt:lpstr>Mapping!SD_3946x1_111_S_0</vt:lpstr>
      <vt:lpstr>Mapping!SD_3946x1_112_S_0</vt:lpstr>
      <vt:lpstr>Mapping!SD_3946x1_113_S_0</vt:lpstr>
      <vt:lpstr>Mapping!SD_3946x1_114_S_0</vt:lpstr>
      <vt:lpstr>Mapping!SD_3946x1_115_S_0</vt:lpstr>
      <vt:lpstr>Mapping!SD_3946x1_116_S_0</vt:lpstr>
      <vt:lpstr>Mapping!SD_3946x1_117_S_0</vt:lpstr>
      <vt:lpstr>Mapping!SD_3946x1_118_S_0</vt:lpstr>
      <vt:lpstr>Mapping!SD_3946x1_119_S_0</vt:lpstr>
      <vt:lpstr>Mapping!SD_3946x1_120_S_0</vt:lpstr>
      <vt:lpstr>Mapping!SD_3946x1_121_S_0</vt:lpstr>
      <vt:lpstr>Mapping!SD_3946x1_122_S_0</vt:lpstr>
      <vt:lpstr>Mapping!SD_3946x1_123_S_0</vt:lpstr>
      <vt:lpstr>Mapping!SD_3946x1_124_S_0</vt:lpstr>
      <vt:lpstr>Mapping!SD_3946x1_125_S_0</vt:lpstr>
      <vt:lpstr>Mapping!SD_3946x1_126_S_0</vt:lpstr>
      <vt:lpstr>Mapping!SD_3946x1_127_S_0</vt:lpstr>
      <vt:lpstr>Mapping!SD_3946x1_128_S_0</vt:lpstr>
      <vt:lpstr>Mapping!SD_3946x1_129_S_0</vt:lpstr>
      <vt:lpstr>Mapping!SD_3946x1_130_S_0</vt:lpstr>
      <vt:lpstr>Mapping!SD_3946x1_131_S_0</vt:lpstr>
      <vt:lpstr>Mapping!SD_3946x1_132_S_0</vt:lpstr>
      <vt:lpstr>Mapping!SD_3946x1_133_S_0</vt:lpstr>
      <vt:lpstr>Mapping!SD_3946x1_134_S_0</vt:lpstr>
      <vt:lpstr>Mapping!SD_3946x1_135_S_0</vt:lpstr>
      <vt:lpstr>Mapping!SD_3946x1_136_S_0</vt:lpstr>
      <vt:lpstr>Mapping!SD_3946x1_137_S_0</vt:lpstr>
      <vt:lpstr>Mapping!SD_3946x1_138_S_0</vt:lpstr>
      <vt:lpstr>Mapping!SD_3946x1_139_S_0</vt:lpstr>
      <vt:lpstr>Mapping!SD_3946x1_140_S_0</vt:lpstr>
      <vt:lpstr>Mapping!SD_3946x1_141_S_0</vt:lpstr>
      <vt:lpstr>Mapping!SD_3946x1_142_S_0</vt:lpstr>
      <vt:lpstr>Mapping!SD_3946x1_143_S_0</vt:lpstr>
      <vt:lpstr>Mapping!SD_3946x1_144_S_0</vt:lpstr>
      <vt:lpstr>Mapping!SD_3946x1_145_S_0</vt:lpstr>
      <vt:lpstr>Mapping!SD_3946x1_146_S_0</vt:lpstr>
      <vt:lpstr>Mapping!SD_3946x1_147_S_0</vt:lpstr>
      <vt:lpstr>Mapping!SD_3946x1_148_S_0</vt:lpstr>
      <vt:lpstr>Mapping!SD_3946x1_149_S_0</vt:lpstr>
      <vt:lpstr>Mapping!SD_3946x1_150_S_0</vt:lpstr>
      <vt:lpstr>Mapping!SD_3946x1_151_S_0</vt:lpstr>
      <vt:lpstr>Mapping!SD_3946x1_152_S_0</vt:lpstr>
      <vt:lpstr>Mapping!SD_3946x1_153_S_0</vt:lpstr>
      <vt:lpstr>Mapping!SD_3946x1_154_S_0</vt:lpstr>
      <vt:lpstr>Mapping!SD_3946x1_155_S_0</vt:lpstr>
      <vt:lpstr>Mapping!SD_3946x1_156_S_0</vt:lpstr>
      <vt:lpstr>Mapping!SD_3946x1_157_S_0</vt:lpstr>
      <vt:lpstr>Mapping!SD_3946x1_158_S_0</vt:lpstr>
      <vt:lpstr>Mapping!SD_3946x1_159_S_0</vt:lpstr>
      <vt:lpstr>Mapping!SD_3946x1_160_S_0</vt:lpstr>
      <vt:lpstr>Mapping!SD_3946x1_161_S_0</vt:lpstr>
      <vt:lpstr>Mapping!SD_3946x1_162_S_0</vt:lpstr>
      <vt:lpstr>Mapping!SD_3946x1_163_S_0</vt:lpstr>
      <vt:lpstr>Mapping!SD_3946x1_164_S_0</vt:lpstr>
      <vt:lpstr>Mapping!SD_3946x1_165_S_0</vt:lpstr>
      <vt:lpstr>Mapping!SD_3946x1_166_S_0</vt:lpstr>
      <vt:lpstr>Mapping!SD_3946x1_167_S_0</vt:lpstr>
      <vt:lpstr>Mapping!SD_3946x1_168_S_0</vt:lpstr>
      <vt:lpstr>Mapping!SD_3946x1_169_S_0</vt:lpstr>
      <vt:lpstr>Mapping!SD_3946x1_170_S_0</vt:lpstr>
      <vt:lpstr>Mapping!SD_3946x1_171_S_0</vt:lpstr>
      <vt:lpstr>Mapping!SD_3946x1_172_S_0</vt:lpstr>
      <vt:lpstr>Mapping!SD_3946x1_173_S_0</vt:lpstr>
      <vt:lpstr>Mapping!SD_3946x1_174_S_0</vt:lpstr>
      <vt:lpstr>Mapping!SD_3946x1_175_S_0</vt:lpstr>
      <vt:lpstr>Mapping!SD_3946x1_176_S_0</vt:lpstr>
      <vt:lpstr>Mapping!SD_3946x1_177_S_0</vt:lpstr>
      <vt:lpstr>Mapping!SD_3946x1_178_S_0</vt:lpstr>
      <vt:lpstr>Mapping!SD_3946x1_179_S_0</vt:lpstr>
      <vt:lpstr>Mapping!SD_3946x1_180_S_0</vt:lpstr>
      <vt:lpstr>Mapping!SD_3946x1_181_S_0</vt:lpstr>
      <vt:lpstr>Mapping!SD_3946x1_182_S_0</vt:lpstr>
      <vt:lpstr>Mapping!SD_3946x1_183_S_0</vt:lpstr>
      <vt:lpstr>Mapping!SD_3946x1_184_S_0</vt:lpstr>
      <vt:lpstr>Mapping!SD_3946x1_185_S_0</vt:lpstr>
      <vt:lpstr>Mapping!SD_3946x1_186_S_0</vt:lpstr>
      <vt:lpstr>Mapping!SD_3946x1_187_S_0</vt:lpstr>
      <vt:lpstr>Mapping!SD_3946x1_188_S_0</vt:lpstr>
      <vt:lpstr>Mapping!SD_3946x1_189_S_0</vt:lpstr>
      <vt:lpstr>Mapping!SD_3946x1_190_S_0</vt:lpstr>
      <vt:lpstr>Mapping!SD_3946x1_191_S_0</vt:lpstr>
      <vt:lpstr>Mapping!SD_3946x1_192_S_0</vt:lpstr>
      <vt:lpstr>Mapping!SD_3946x1_193_S_0</vt:lpstr>
      <vt:lpstr>Mapping!SD_3946x1_194_S_0</vt:lpstr>
      <vt:lpstr>Mapping!SD_3946x1_195_S_0</vt:lpstr>
      <vt:lpstr>Mapping!SD_3946x1_196_S_0</vt:lpstr>
      <vt:lpstr>Mapping!SD_3946x1_197_S_0</vt:lpstr>
      <vt:lpstr>Mapping!SD_3946x1_198_S_0</vt:lpstr>
      <vt:lpstr>Mapping!SD_3946x1_199_S_0</vt:lpstr>
      <vt:lpstr>Mapping!SD_3946x1_200_S_0</vt:lpstr>
      <vt:lpstr>Mapping!SD_3946x1_201_S_0</vt:lpstr>
      <vt:lpstr>Mapping!SD_3946x1_202_S_0</vt:lpstr>
      <vt:lpstr>Mapping!SD_3946x1_203_S_0</vt:lpstr>
      <vt:lpstr>Mapping!SD_3946x1_204_S_0</vt:lpstr>
      <vt:lpstr>Mapping!SD_3946x1_205_S_0</vt:lpstr>
      <vt:lpstr>Mapping!SD_3946x1_206_S_0</vt:lpstr>
      <vt:lpstr>Mapping!SD_3946x1_207_S_0</vt:lpstr>
      <vt:lpstr>Mapping!SD_3946x1_208_S_0</vt:lpstr>
      <vt:lpstr>Mapping!SD_3946x1_209_S_0</vt:lpstr>
      <vt:lpstr>Mapping!SD_3946x1_210_S_0</vt:lpstr>
      <vt:lpstr>Mapping!SD_3946x1_211_S_0</vt:lpstr>
      <vt:lpstr>Mapping!SD_4270x1_4371x1_115_S_1</vt:lpstr>
      <vt:lpstr>Mapping!SD_4270x1_4371x1_125_S_1</vt:lpstr>
      <vt:lpstr>Mapping!SD_4270x1_4371x1_129_S_0</vt:lpstr>
      <vt:lpstr>Mapping!SD_4270x1_4371x1_131_S_0</vt:lpstr>
      <vt:lpstr>Mapping!SD_4270x1_4371x1_134_S_0</vt:lpstr>
      <vt:lpstr>Mapping!SD_4270x1_4371x1_200_S_0</vt:lpstr>
      <vt:lpstr>Mapping!SD_4270x1_4371x1_221_S_0</vt:lpstr>
      <vt:lpstr>Mapping!SD_4270x1_4371x1_223_S_0</vt:lpstr>
      <vt:lpstr>Mapping!SD_4270x1_4371x1_224_S_0</vt:lpstr>
      <vt:lpstr>Mapping!SD_4270x1_4371x1_225_S_0</vt:lpstr>
      <vt:lpstr>Mapping!SD_4270x1_4371x1_226_S_0</vt:lpstr>
      <vt:lpstr>Mapping!SD_4270x1_4371x1_230_S_0</vt:lpstr>
      <vt:lpstr>Mapping!SD_4270x1_4371x1_231_S_0</vt:lpstr>
      <vt:lpstr>Mapping!SD_4270x1_4371x1_233_S_0</vt:lpstr>
      <vt:lpstr>Mapping!SD_4270x1_4371x1_234_S_0</vt:lpstr>
      <vt:lpstr>Mapping!SD_4270x1_4371x1_238_S_0</vt:lpstr>
      <vt:lpstr>Mapping!SD_4270x1_4371x1_239_S_0</vt:lpstr>
      <vt:lpstr>Mapping!SD_4270x1_4371x1_240_S_0</vt:lpstr>
      <vt:lpstr>Mapping!SD_4270x1_4371x1_241_S_0</vt:lpstr>
      <vt:lpstr>Mapping!SD_4270x1_4371x1_244_S_0</vt:lpstr>
      <vt:lpstr>Mapping!SD_4270x1_4371x1_245_S_0</vt:lpstr>
      <vt:lpstr>Mapping!SD_4270x1_4371x1_246_S_0</vt:lpstr>
      <vt:lpstr>Mapping!SD_4270x1_4371x1_248_S_0</vt:lpstr>
      <vt:lpstr>Mapping!SD_4270x1_4371x1_250_S_0</vt:lpstr>
      <vt:lpstr>Mapping!SD_4270x1_4371x1_251_S_0</vt:lpstr>
      <vt:lpstr>Mapping!SD_4270x1_4371x1_252_S_0</vt:lpstr>
      <vt:lpstr>Mapping!SD_4270x1_4371x1_253_S_0</vt:lpstr>
      <vt:lpstr>Mapping!SD_4270x1_4371x1_254_S_0</vt:lpstr>
      <vt:lpstr>Mapping!SD_4270x1_4371x1_256_S_0</vt:lpstr>
      <vt:lpstr>Mapping!SD_4270x1_4371x1_257_S_0</vt:lpstr>
      <vt:lpstr>Mapping!SD_4270x1_4371x1_260_S_0</vt:lpstr>
      <vt:lpstr>Mapping!SD_4270x1_4371x1_262_S_0</vt:lpstr>
      <vt:lpstr>Mapping!SD_4270x1_4371x1_263_S_0</vt:lpstr>
      <vt:lpstr>Mapping!SD_4270x1_4371x1_266_S_0</vt:lpstr>
      <vt:lpstr>Mapping!SD_4270x1_4371x1_270_S_0</vt:lpstr>
      <vt:lpstr>Mapping!SD_4270x1_4371x1_271_S_0</vt:lpstr>
      <vt:lpstr>Mapping!SD_4270x1_4371x1_362_S_1</vt:lpstr>
      <vt:lpstr>Mapping!SD_4270x1_4371x1_412_S_0</vt:lpstr>
      <vt:lpstr>Mapping!SD_4270x1_4371x1_413_S_0</vt:lpstr>
      <vt:lpstr>Mapping!SD_4270x1_4371x1_414_S_0</vt:lpstr>
      <vt:lpstr>Mapping!SD_4270x1_4371x1_415_S_0</vt:lpstr>
      <vt:lpstr>Mapping!SD_4270x1_4371x1_416_S_0</vt:lpstr>
      <vt:lpstr>Mapping!SD_4270x1_4371x1_417_S_0</vt:lpstr>
      <vt:lpstr>Mapping!SD_4270x1_4371x1_418_S_0</vt:lpstr>
      <vt:lpstr>Mapping!SD_4270x1_4371x1_419_S_0</vt:lpstr>
      <vt:lpstr>Mapping!SD_4270x1_4371x1_420_S_0</vt:lpstr>
      <vt:lpstr>Mapping!SD_4270x1_4371x1_421_S_0</vt:lpstr>
      <vt:lpstr>Mapping!SD_4270x1_4371x1_422_S_0</vt:lpstr>
      <vt:lpstr>Mapping!SD_4270x1_4371x1_423_S_0</vt:lpstr>
      <vt:lpstr>Mapping!SD_4270x1_4371x1_424_S_0</vt:lpstr>
      <vt:lpstr>Mapping!SD_4270x1_4371x1_425_S_0</vt:lpstr>
      <vt:lpstr>Mapping!SD_4270x1_4371x1_4546x1_10_S_0</vt:lpstr>
      <vt:lpstr>Mapping!SD_4270x1_4371x1_4546x1_22_S_0</vt:lpstr>
      <vt:lpstr>Mapping!SD_4270x1_4371x1_4546x1_23_S_0</vt:lpstr>
      <vt:lpstr>Mapping!SD_4270x1_4371x1_4546x1_27_S_0</vt:lpstr>
      <vt:lpstr>Mapping!SD_4270x1_4371x1_4546x1_28_S_0</vt:lpstr>
      <vt:lpstr>Mapping!SD_4270x1_4371x1_4546x1_29_S_0</vt:lpstr>
      <vt:lpstr>Mapping!SD_4270x1_4371x1_4546x1_30_S_0</vt:lpstr>
      <vt:lpstr>Mapping!SD_4270x1_4371x1_4546x1_31_S_0</vt:lpstr>
      <vt:lpstr>Mapping!SD_4270x1_4371x1_4546x1_32_S_0</vt:lpstr>
      <vt:lpstr>Mapping!SD_4270x1_4371x1_4546x1_33_S_0</vt:lpstr>
      <vt:lpstr>Mapping!SD_4270x1_4371x1_4546x1_34_S_0</vt:lpstr>
      <vt:lpstr>Mapping!SD_4270x1_4371x1_4546x1_35_S_0</vt:lpstr>
      <vt:lpstr>Mapping!SD_4270x1_4371x1_4546x1_38_S_0</vt:lpstr>
      <vt:lpstr>Mapping!SD_4270x1_4371x1_4546x1_40_S_0</vt:lpstr>
      <vt:lpstr>Mapping!SD_4270x1_4371x1_4546x1_41_S_0</vt:lpstr>
      <vt:lpstr>Mapping!SD_4270x1_4371x1_4546x1_42_S_0</vt:lpstr>
      <vt:lpstr>Mapping!SD_4270x1_4371x1_4546x1_43_S_0</vt:lpstr>
      <vt:lpstr>Mapping!SD_4270x1_4371x1_4546x1_45_S_0</vt:lpstr>
      <vt:lpstr>Mapping!SD_4270x1_4371x1_4546x1_46_S_0</vt:lpstr>
      <vt:lpstr>Mapping!SD_4270x1_4371x1_4546x1_47_S_0</vt:lpstr>
      <vt:lpstr>Mapping!SD_4270x1_4371x1_4546x1_63_S_0</vt:lpstr>
      <vt:lpstr>Mapping!SD_4270x1_4371x1_4546x1_64_S_0</vt:lpstr>
      <vt:lpstr>Mapping!SD_4270x1_4371x1_4546x1_65_S_0</vt:lpstr>
      <vt:lpstr>Mapping!SD_4270x1_4371x1_4546x1_66_S_0</vt:lpstr>
      <vt:lpstr>Mapping!SD_4270x1_4371x1_4546x1_67_S_0</vt:lpstr>
      <vt:lpstr>Mapping!SD_4270x1_4371x1_4546x1_68_S_0</vt:lpstr>
      <vt:lpstr>Mapping!SD_4270x1_4371x1_4546x1_69_S_0</vt:lpstr>
      <vt:lpstr>Mapping!SD_4270x1_4371x1_4546x1_70_S_0</vt:lpstr>
      <vt:lpstr>Mapping!SD_4270x1_4371x1_4546x1_71_S_0</vt:lpstr>
      <vt:lpstr>Mapping!SD_4270x1_4371x1_4546x1_72_S_0</vt:lpstr>
      <vt:lpstr>Mapping!SD_4270x1_4371x1_4546x1_73_S_0</vt:lpstr>
      <vt:lpstr>Mapping!SD_4270x1_4371x1_4546x1_74_S_0</vt:lpstr>
      <vt:lpstr>Mapping!SD_4270x1_4371x1_4546x1_75_S_0</vt:lpstr>
      <vt:lpstr>Mapping!SD_4270x1_4371x1_4546x1_76_S_0</vt:lpstr>
      <vt:lpstr>Mapping!SD_4270x1_4371x1_4546x1_87_S_0</vt:lpstr>
      <vt:lpstr>Mapping!SD_4270x1_4371x1_4546x1_9_S_0</vt:lpstr>
      <vt:lpstr>Mapping!SD_4270x1_4371x1_4552x1_10_S_0</vt:lpstr>
      <vt:lpstr>Mapping!SD_4270x1_4371x1_4552x1_22_S_0</vt:lpstr>
      <vt:lpstr>Mapping!SD_4270x1_4371x1_4552x1_23_S_0</vt:lpstr>
      <vt:lpstr>Mapping!SD_4270x1_4371x1_4552x1_27_S_0</vt:lpstr>
      <vt:lpstr>Mapping!SD_4270x1_4371x1_4552x1_28_S_0</vt:lpstr>
      <vt:lpstr>Mapping!SD_4270x1_4371x1_4552x1_29_S_0</vt:lpstr>
      <vt:lpstr>Mapping!SD_4270x1_4371x1_4552x1_30_S_0</vt:lpstr>
      <vt:lpstr>Mapping!SD_4270x1_4371x1_4552x1_31_S_0</vt:lpstr>
      <vt:lpstr>Mapping!SD_4270x1_4371x1_4552x1_32_S_0</vt:lpstr>
      <vt:lpstr>Mapping!SD_4270x1_4371x1_4552x1_33_S_0</vt:lpstr>
      <vt:lpstr>Mapping!SD_4270x1_4371x1_4552x1_34_S_0</vt:lpstr>
      <vt:lpstr>Mapping!SD_4270x1_4371x1_4552x1_35_S_0</vt:lpstr>
      <vt:lpstr>Mapping!SD_4270x1_4371x1_4552x1_38_S_0</vt:lpstr>
      <vt:lpstr>Mapping!SD_4270x1_4371x1_4552x1_40_S_0</vt:lpstr>
      <vt:lpstr>Mapping!SD_4270x1_4371x1_4552x1_41_S_0</vt:lpstr>
      <vt:lpstr>Mapping!SD_4270x1_4371x1_4552x1_42_S_0</vt:lpstr>
      <vt:lpstr>Mapping!SD_4270x1_4371x1_4552x1_43_S_0</vt:lpstr>
      <vt:lpstr>Mapping!SD_4270x1_4371x1_4552x1_45_S_0</vt:lpstr>
      <vt:lpstr>Mapping!SD_4270x1_4371x1_4552x1_46_S_0</vt:lpstr>
      <vt:lpstr>Mapping!SD_4270x1_4371x1_4552x1_47_S_0</vt:lpstr>
      <vt:lpstr>Mapping!SD_4270x1_4371x1_4552x1_63_S_0</vt:lpstr>
      <vt:lpstr>Mapping!SD_4270x1_4371x1_4552x1_64_S_0</vt:lpstr>
      <vt:lpstr>Mapping!SD_4270x1_4371x1_4552x1_65_S_0</vt:lpstr>
      <vt:lpstr>Mapping!SD_4270x1_4371x1_4552x1_66_S_0</vt:lpstr>
      <vt:lpstr>Mapping!SD_4270x1_4371x1_4552x1_67_S_0</vt:lpstr>
      <vt:lpstr>Mapping!SD_4270x1_4371x1_4552x1_68_S_0</vt:lpstr>
      <vt:lpstr>Mapping!SD_4270x1_4371x1_4552x1_69_S_0</vt:lpstr>
      <vt:lpstr>Mapping!SD_4270x1_4371x1_4552x1_70_S_0</vt:lpstr>
      <vt:lpstr>Mapping!SD_4270x1_4371x1_4552x1_71_S_0</vt:lpstr>
      <vt:lpstr>Mapping!SD_4270x1_4371x1_4552x1_72_S_0</vt:lpstr>
      <vt:lpstr>Mapping!SD_4270x1_4371x1_4552x1_73_S_0</vt:lpstr>
      <vt:lpstr>Mapping!SD_4270x1_4371x1_4552x1_74_S_0</vt:lpstr>
      <vt:lpstr>Mapping!SD_4270x1_4371x1_4552x1_75_S_0</vt:lpstr>
      <vt:lpstr>Mapping!SD_4270x1_4371x1_4552x1_76_S_0</vt:lpstr>
      <vt:lpstr>Mapping!SD_4270x1_4371x1_4552x1_87_S_0</vt:lpstr>
      <vt:lpstr>Mapping!SD_4270x1_4371x1_4552x1_9_S_0</vt:lpstr>
      <vt:lpstr>Mapping!SD_4270x1_4371x1_4566x1_11_S_0</vt:lpstr>
      <vt:lpstr>Mapping!SD_4270x1_4371x1_4566x1_13_S_0</vt:lpstr>
      <vt:lpstr>Mapping!SD_4270x1_4371x1_4566x1_4_S_1</vt:lpstr>
      <vt:lpstr>Mapping!SD_4270x1_4371x1_4566x1_6_S_0</vt:lpstr>
      <vt:lpstr>Mapping!SD_4270x1_4371x1_4566x1_9_S_0</vt:lpstr>
      <vt:lpstr>Mapping!SD_4270x1_4371x1_4566x10_11_S_0</vt:lpstr>
      <vt:lpstr>Mapping!SD_4270x1_4371x1_4566x10_13_S_0</vt:lpstr>
      <vt:lpstr>Mapping!SD_4270x1_4371x1_4566x10_4_S_1</vt:lpstr>
      <vt:lpstr>Mapping!SD_4270x1_4371x1_4566x10_6_S_0</vt:lpstr>
      <vt:lpstr>Mapping!SD_4270x1_4371x1_4566x10_9_S_0</vt:lpstr>
      <vt:lpstr>Mapping!SD_4270x1_4371x1_4566x11_11_S_0</vt:lpstr>
      <vt:lpstr>Mapping!SD_4270x1_4371x1_4566x11_13_S_0</vt:lpstr>
      <vt:lpstr>Mapping!SD_4270x1_4371x1_4566x11_4_S_1</vt:lpstr>
      <vt:lpstr>Mapping!SD_4270x1_4371x1_4566x11_6_S_0</vt:lpstr>
      <vt:lpstr>Mapping!SD_4270x1_4371x1_4566x11_9_S_0</vt:lpstr>
      <vt:lpstr>Mapping!SD_4270x1_4371x1_4566x12_11_S_0</vt:lpstr>
      <vt:lpstr>Mapping!SD_4270x1_4371x1_4566x12_13_S_0</vt:lpstr>
      <vt:lpstr>Mapping!SD_4270x1_4371x1_4566x12_4_S_1</vt:lpstr>
      <vt:lpstr>Mapping!SD_4270x1_4371x1_4566x12_6_S_0</vt:lpstr>
      <vt:lpstr>Mapping!SD_4270x1_4371x1_4566x12_9_S_0</vt:lpstr>
      <vt:lpstr>Mapping!SD_4270x1_4371x1_4566x13_11_S_0</vt:lpstr>
      <vt:lpstr>Mapping!SD_4270x1_4371x1_4566x13_13_S_0</vt:lpstr>
      <vt:lpstr>Mapping!SD_4270x1_4371x1_4566x13_4_S_1</vt:lpstr>
      <vt:lpstr>Mapping!SD_4270x1_4371x1_4566x13_6_S_0</vt:lpstr>
      <vt:lpstr>Mapping!SD_4270x1_4371x1_4566x13_9_S_0</vt:lpstr>
      <vt:lpstr>Mapping!SD_4270x1_4371x1_4566x14_11_S_0</vt:lpstr>
      <vt:lpstr>Mapping!SD_4270x1_4371x1_4566x14_13_S_0</vt:lpstr>
      <vt:lpstr>Mapping!SD_4270x1_4371x1_4566x14_4_S_1</vt:lpstr>
      <vt:lpstr>Mapping!SD_4270x1_4371x1_4566x14_6_S_0</vt:lpstr>
      <vt:lpstr>Mapping!SD_4270x1_4371x1_4566x14_9_S_0</vt:lpstr>
      <vt:lpstr>Mapping!SD_4270x1_4371x1_4566x15_11_S_0</vt:lpstr>
      <vt:lpstr>Mapping!SD_4270x1_4371x1_4566x15_13_S_0</vt:lpstr>
      <vt:lpstr>Mapping!SD_4270x1_4371x1_4566x15_4_S_1</vt:lpstr>
      <vt:lpstr>Mapping!SD_4270x1_4371x1_4566x15_6_S_0</vt:lpstr>
      <vt:lpstr>Mapping!SD_4270x1_4371x1_4566x15_9_S_0</vt:lpstr>
      <vt:lpstr>Mapping!SD_4270x1_4371x1_4566x16_11_S_0</vt:lpstr>
      <vt:lpstr>Mapping!SD_4270x1_4371x1_4566x16_13_S_0</vt:lpstr>
      <vt:lpstr>Mapping!SD_4270x1_4371x1_4566x16_4_S_1</vt:lpstr>
      <vt:lpstr>Mapping!SD_4270x1_4371x1_4566x16_6_S_0</vt:lpstr>
      <vt:lpstr>Mapping!SD_4270x1_4371x1_4566x16_9_S_0</vt:lpstr>
      <vt:lpstr>Mapping!SD_4270x1_4371x1_4566x17_11_S_0</vt:lpstr>
      <vt:lpstr>Mapping!SD_4270x1_4371x1_4566x17_13_S_0</vt:lpstr>
      <vt:lpstr>Mapping!SD_4270x1_4371x1_4566x17_4_S_1</vt:lpstr>
      <vt:lpstr>Mapping!SD_4270x1_4371x1_4566x17_6_S_0</vt:lpstr>
      <vt:lpstr>Mapping!SD_4270x1_4371x1_4566x17_9_S_0</vt:lpstr>
      <vt:lpstr>Mapping!SD_4270x1_4371x1_4566x18_11_S_0</vt:lpstr>
      <vt:lpstr>Mapping!SD_4270x1_4371x1_4566x18_13_S_0</vt:lpstr>
      <vt:lpstr>Mapping!SD_4270x1_4371x1_4566x18_4_S_1</vt:lpstr>
      <vt:lpstr>Mapping!SD_4270x1_4371x1_4566x18_6_S_0</vt:lpstr>
      <vt:lpstr>Mapping!SD_4270x1_4371x1_4566x18_9_S_0</vt:lpstr>
      <vt:lpstr>Mapping!SD_4270x1_4371x1_4566x19_11_S_0</vt:lpstr>
      <vt:lpstr>Mapping!SD_4270x1_4371x1_4566x19_13_S_0</vt:lpstr>
      <vt:lpstr>Mapping!SD_4270x1_4371x1_4566x19_4_S_1</vt:lpstr>
      <vt:lpstr>Mapping!SD_4270x1_4371x1_4566x19_6_S_0</vt:lpstr>
      <vt:lpstr>Mapping!SD_4270x1_4371x1_4566x19_9_S_0</vt:lpstr>
      <vt:lpstr>Mapping!SD_4270x1_4371x1_4566x2_11_S_0</vt:lpstr>
      <vt:lpstr>Mapping!SD_4270x1_4371x1_4566x2_13_S_0</vt:lpstr>
      <vt:lpstr>Mapping!SD_4270x1_4371x1_4566x2_4_S_1</vt:lpstr>
      <vt:lpstr>Mapping!SD_4270x1_4371x1_4566x2_6_S_0</vt:lpstr>
      <vt:lpstr>Mapping!SD_4270x1_4371x1_4566x2_9_S_0</vt:lpstr>
      <vt:lpstr>Mapping!SD_4270x1_4371x1_4566x20_11_S_0</vt:lpstr>
      <vt:lpstr>Mapping!SD_4270x1_4371x1_4566x20_13_S_0</vt:lpstr>
      <vt:lpstr>Mapping!SD_4270x1_4371x1_4566x20_4_S_1</vt:lpstr>
      <vt:lpstr>Mapping!SD_4270x1_4371x1_4566x20_6_S_0</vt:lpstr>
      <vt:lpstr>Mapping!SD_4270x1_4371x1_4566x20_9_S_0</vt:lpstr>
      <vt:lpstr>Mapping!SD_4270x1_4371x1_4566x21_11_S_0</vt:lpstr>
      <vt:lpstr>Mapping!SD_4270x1_4371x1_4566x21_13_S_0</vt:lpstr>
      <vt:lpstr>Mapping!SD_4270x1_4371x1_4566x21_4_S_1</vt:lpstr>
      <vt:lpstr>Mapping!SD_4270x1_4371x1_4566x21_6_S_0</vt:lpstr>
      <vt:lpstr>Mapping!SD_4270x1_4371x1_4566x21_9_S_0</vt:lpstr>
      <vt:lpstr>Mapping!SD_4270x1_4371x1_4566x3_11_S_0</vt:lpstr>
      <vt:lpstr>Mapping!SD_4270x1_4371x1_4566x3_13_S_0</vt:lpstr>
      <vt:lpstr>Mapping!SD_4270x1_4371x1_4566x3_4_S_1</vt:lpstr>
      <vt:lpstr>Mapping!SD_4270x1_4371x1_4566x3_6_S_0</vt:lpstr>
      <vt:lpstr>Mapping!SD_4270x1_4371x1_4566x3_9_S_0</vt:lpstr>
      <vt:lpstr>Mapping!SD_4270x1_4371x1_4566x4_11_S_0</vt:lpstr>
      <vt:lpstr>Mapping!SD_4270x1_4371x1_4566x4_13_S_0</vt:lpstr>
      <vt:lpstr>Mapping!SD_4270x1_4371x1_4566x4_4_S_1</vt:lpstr>
      <vt:lpstr>Mapping!SD_4270x1_4371x1_4566x4_6_S_0</vt:lpstr>
      <vt:lpstr>Mapping!SD_4270x1_4371x1_4566x4_9_S_0</vt:lpstr>
      <vt:lpstr>Mapping!SD_4270x1_4371x1_4566x5_11_S_0</vt:lpstr>
      <vt:lpstr>Mapping!SD_4270x1_4371x1_4566x5_13_S_0</vt:lpstr>
      <vt:lpstr>Mapping!SD_4270x1_4371x1_4566x5_4_S_1</vt:lpstr>
      <vt:lpstr>Mapping!SD_4270x1_4371x1_4566x5_6_S_0</vt:lpstr>
      <vt:lpstr>Mapping!SD_4270x1_4371x1_4566x5_9_S_0</vt:lpstr>
      <vt:lpstr>Mapping!SD_4270x1_4371x1_4566x6_11_S_0</vt:lpstr>
      <vt:lpstr>Mapping!SD_4270x1_4371x1_4566x6_13_S_0</vt:lpstr>
      <vt:lpstr>Mapping!SD_4270x1_4371x1_4566x6_4_S_1</vt:lpstr>
      <vt:lpstr>Mapping!SD_4270x1_4371x1_4566x6_6_S_0</vt:lpstr>
      <vt:lpstr>Mapping!SD_4270x1_4371x1_4566x6_9_S_0</vt:lpstr>
      <vt:lpstr>Mapping!SD_4270x1_4371x1_4566x7_11_S_0</vt:lpstr>
      <vt:lpstr>Mapping!SD_4270x1_4371x1_4566x7_13_S_0</vt:lpstr>
      <vt:lpstr>Mapping!SD_4270x1_4371x1_4566x7_4_S_1</vt:lpstr>
      <vt:lpstr>Mapping!SD_4270x1_4371x1_4566x7_6_S_0</vt:lpstr>
      <vt:lpstr>Mapping!SD_4270x1_4371x1_4566x7_9_S_0</vt:lpstr>
      <vt:lpstr>Mapping!SD_4270x1_4371x1_4566x8_11_S_0</vt:lpstr>
      <vt:lpstr>Mapping!SD_4270x1_4371x1_4566x8_13_S_0</vt:lpstr>
      <vt:lpstr>Mapping!SD_4270x1_4371x1_4566x8_4_S_1</vt:lpstr>
      <vt:lpstr>Mapping!SD_4270x1_4371x1_4566x8_6_S_0</vt:lpstr>
      <vt:lpstr>Mapping!SD_4270x1_4371x1_4566x8_9_S_0</vt:lpstr>
      <vt:lpstr>Mapping!SD_4270x1_4371x1_4566x9_11_S_0</vt:lpstr>
      <vt:lpstr>Mapping!SD_4270x1_4371x1_4566x9_13_S_0</vt:lpstr>
      <vt:lpstr>Mapping!SD_4270x1_4371x1_4566x9_4_S_1</vt:lpstr>
      <vt:lpstr>Mapping!SD_4270x1_4371x1_4566x9_6_S_0</vt:lpstr>
      <vt:lpstr>Mapping!SD_4270x1_4371x1_4566x9_9_S_0</vt:lpstr>
      <vt:lpstr>Mapping!SD_4270x1_4371x1_4594x1_10_S_0</vt:lpstr>
      <vt:lpstr>Mapping!SD_4270x1_4371x1_4594x1_22_S_0</vt:lpstr>
      <vt:lpstr>Mapping!SD_4270x1_4371x1_4594x1_23_S_0</vt:lpstr>
      <vt:lpstr>Mapping!SD_4270x1_4371x1_4594x1_27_S_0</vt:lpstr>
      <vt:lpstr>Mapping!SD_4270x1_4371x1_4594x1_28_S_0</vt:lpstr>
      <vt:lpstr>Mapping!SD_4270x1_4371x1_4594x1_29_S_0</vt:lpstr>
      <vt:lpstr>Mapping!SD_4270x1_4371x1_4594x1_30_S_0</vt:lpstr>
      <vt:lpstr>Mapping!SD_4270x1_4371x1_4594x1_31_S_0</vt:lpstr>
      <vt:lpstr>Mapping!SD_4270x1_4371x1_4594x1_32_S_0</vt:lpstr>
      <vt:lpstr>Mapping!SD_4270x1_4371x1_4594x1_33_S_0</vt:lpstr>
      <vt:lpstr>Mapping!SD_4270x1_4371x1_4594x1_34_S_0</vt:lpstr>
      <vt:lpstr>Mapping!SD_4270x1_4371x1_4594x1_35_S_0</vt:lpstr>
      <vt:lpstr>Mapping!SD_4270x1_4371x1_4594x1_38_S_0</vt:lpstr>
      <vt:lpstr>Mapping!SD_4270x1_4371x1_4594x1_40_S_0</vt:lpstr>
      <vt:lpstr>Mapping!SD_4270x1_4371x1_4594x1_41_S_0</vt:lpstr>
      <vt:lpstr>Mapping!SD_4270x1_4371x1_4594x1_42_S_0</vt:lpstr>
      <vt:lpstr>Mapping!SD_4270x1_4371x1_4594x1_43_S_0</vt:lpstr>
      <vt:lpstr>Mapping!SD_4270x1_4371x1_4594x1_45_S_0</vt:lpstr>
      <vt:lpstr>Mapping!SD_4270x1_4371x1_4594x1_46_S_0</vt:lpstr>
      <vt:lpstr>Mapping!SD_4270x1_4371x1_4594x1_47_S_0</vt:lpstr>
      <vt:lpstr>Mapping!SD_4270x1_4371x1_4594x1_63_S_0</vt:lpstr>
      <vt:lpstr>Mapping!SD_4270x1_4371x1_4594x1_64_S_0</vt:lpstr>
      <vt:lpstr>Mapping!SD_4270x1_4371x1_4594x1_65_S_0</vt:lpstr>
      <vt:lpstr>Mapping!SD_4270x1_4371x1_4594x1_66_S_0</vt:lpstr>
      <vt:lpstr>Mapping!SD_4270x1_4371x1_4594x1_67_S_0</vt:lpstr>
      <vt:lpstr>Mapping!SD_4270x1_4371x1_4594x1_68_S_0</vt:lpstr>
      <vt:lpstr>Mapping!SD_4270x1_4371x1_4594x1_69_S_0</vt:lpstr>
      <vt:lpstr>Mapping!SD_4270x1_4371x1_4594x1_70_S_0</vt:lpstr>
      <vt:lpstr>Mapping!SD_4270x1_4371x1_4594x1_71_S_0</vt:lpstr>
      <vt:lpstr>Mapping!SD_4270x1_4371x1_4594x1_72_S_0</vt:lpstr>
      <vt:lpstr>Mapping!SD_4270x1_4371x1_4594x1_73_S_0</vt:lpstr>
      <vt:lpstr>Mapping!SD_4270x1_4371x1_4594x1_74_S_0</vt:lpstr>
      <vt:lpstr>Mapping!SD_4270x1_4371x1_4594x1_75_S_0</vt:lpstr>
      <vt:lpstr>Mapping!SD_4270x1_4371x1_4594x1_76_S_0</vt:lpstr>
      <vt:lpstr>Mapping!SD_4270x1_4371x1_4594x1_87_S_0</vt:lpstr>
      <vt:lpstr>Mapping!SD_4270x1_4371x1_4594x1_9_S_0</vt:lpstr>
      <vt:lpstr>Mapping!SD_4270x1_4371x1_4600x1_10_S_0</vt:lpstr>
      <vt:lpstr>Mapping!SD_4270x1_4371x1_4600x1_22_S_0</vt:lpstr>
      <vt:lpstr>Mapping!SD_4270x1_4371x1_4600x1_23_S_0</vt:lpstr>
      <vt:lpstr>Mapping!SD_4270x1_4371x1_4600x1_27_S_0</vt:lpstr>
      <vt:lpstr>Mapping!SD_4270x1_4371x1_4600x1_28_S_0</vt:lpstr>
      <vt:lpstr>Mapping!SD_4270x1_4371x1_4600x1_29_S_0</vt:lpstr>
      <vt:lpstr>Mapping!SD_4270x1_4371x1_4600x1_30_S_0</vt:lpstr>
      <vt:lpstr>Mapping!SD_4270x1_4371x1_4600x1_31_S_0</vt:lpstr>
      <vt:lpstr>Mapping!SD_4270x1_4371x1_4600x1_32_S_0</vt:lpstr>
      <vt:lpstr>Mapping!SD_4270x1_4371x1_4600x1_33_S_0</vt:lpstr>
      <vt:lpstr>Mapping!SD_4270x1_4371x1_4600x1_34_S_0</vt:lpstr>
      <vt:lpstr>Mapping!SD_4270x1_4371x1_4600x1_35_S_0</vt:lpstr>
      <vt:lpstr>Mapping!SD_4270x1_4371x1_4600x1_38_S_0</vt:lpstr>
      <vt:lpstr>Mapping!SD_4270x1_4371x1_4600x1_40_S_0</vt:lpstr>
      <vt:lpstr>Mapping!SD_4270x1_4371x1_4600x1_41_S_0</vt:lpstr>
      <vt:lpstr>Mapping!SD_4270x1_4371x1_4600x1_42_S_0</vt:lpstr>
      <vt:lpstr>Mapping!SD_4270x1_4371x1_4600x1_43_S_0</vt:lpstr>
      <vt:lpstr>Mapping!SD_4270x1_4371x1_4600x1_45_S_0</vt:lpstr>
      <vt:lpstr>Mapping!SD_4270x1_4371x1_4600x1_46_S_0</vt:lpstr>
      <vt:lpstr>Mapping!SD_4270x1_4371x1_4600x1_47_S_0</vt:lpstr>
      <vt:lpstr>Mapping!SD_4270x1_4371x1_4600x1_63_S_0</vt:lpstr>
      <vt:lpstr>Mapping!SD_4270x1_4371x1_4600x1_64_S_0</vt:lpstr>
      <vt:lpstr>Mapping!SD_4270x1_4371x1_4600x1_65_S_0</vt:lpstr>
      <vt:lpstr>Mapping!SD_4270x1_4371x1_4600x1_66_S_0</vt:lpstr>
      <vt:lpstr>Mapping!SD_4270x1_4371x1_4600x1_67_S_0</vt:lpstr>
      <vt:lpstr>Mapping!SD_4270x1_4371x1_4600x1_68_S_0</vt:lpstr>
      <vt:lpstr>Mapping!SD_4270x1_4371x1_4600x1_69_S_0</vt:lpstr>
      <vt:lpstr>Mapping!SD_4270x1_4371x1_4600x1_70_S_0</vt:lpstr>
      <vt:lpstr>Mapping!SD_4270x1_4371x1_4600x1_71_S_0</vt:lpstr>
      <vt:lpstr>Mapping!SD_4270x1_4371x1_4600x1_72_S_0</vt:lpstr>
      <vt:lpstr>Mapping!SD_4270x1_4371x1_4600x1_73_S_0</vt:lpstr>
      <vt:lpstr>Mapping!SD_4270x1_4371x1_4600x1_74_S_0</vt:lpstr>
      <vt:lpstr>Mapping!SD_4270x1_4371x1_4600x1_75_S_0</vt:lpstr>
      <vt:lpstr>Mapping!SD_4270x1_4371x1_4600x1_76_S_0</vt:lpstr>
      <vt:lpstr>Mapping!SD_4270x1_4371x1_4600x1_87_S_0</vt:lpstr>
      <vt:lpstr>Mapping!SD_4270x1_4371x1_4600x1_9_S_0</vt:lpstr>
      <vt:lpstr>Mapping!SD_4270x1_4371x1_4606x1_5_S_1</vt:lpstr>
      <vt:lpstr>Mapping!SD_4270x1_4371x1_4606x1_6_S_1</vt:lpstr>
      <vt:lpstr>Mapping!SD_4270x1_4371x1_4606x1_8_S_0</vt:lpstr>
      <vt:lpstr>Mapping!SD_4270x1_4371x1_4606x1_9_S_0</vt:lpstr>
      <vt:lpstr>Mapping!SD_4270x1_4371x1_4606x10_5_S_1</vt:lpstr>
      <vt:lpstr>Mapping!SD_4270x1_4371x1_4606x10_6_S_1</vt:lpstr>
      <vt:lpstr>Mapping!SD_4270x1_4371x1_4606x10_8_S_0</vt:lpstr>
      <vt:lpstr>Mapping!SD_4270x1_4371x1_4606x10_9_S_0</vt:lpstr>
      <vt:lpstr>Mapping!SD_4270x1_4371x1_4606x11_5_S_1</vt:lpstr>
      <vt:lpstr>Mapping!SD_4270x1_4371x1_4606x11_6_S_1</vt:lpstr>
      <vt:lpstr>Mapping!SD_4270x1_4371x1_4606x11_8_S_0</vt:lpstr>
      <vt:lpstr>Mapping!SD_4270x1_4371x1_4606x11_9_S_0</vt:lpstr>
      <vt:lpstr>Mapping!SD_4270x1_4371x1_4606x12_5_S_1</vt:lpstr>
      <vt:lpstr>Mapping!SD_4270x1_4371x1_4606x12_6_S_1</vt:lpstr>
      <vt:lpstr>Mapping!SD_4270x1_4371x1_4606x12_8_S_0</vt:lpstr>
      <vt:lpstr>Mapping!SD_4270x1_4371x1_4606x12_9_S_0</vt:lpstr>
      <vt:lpstr>Mapping!SD_4270x1_4371x1_4606x13_5_S_1</vt:lpstr>
      <vt:lpstr>Mapping!SD_4270x1_4371x1_4606x13_6_S_1</vt:lpstr>
      <vt:lpstr>Mapping!SD_4270x1_4371x1_4606x13_8_S_0</vt:lpstr>
      <vt:lpstr>Mapping!SD_4270x1_4371x1_4606x13_9_S_0</vt:lpstr>
      <vt:lpstr>Mapping!SD_4270x1_4371x1_4606x14_5_S_1</vt:lpstr>
      <vt:lpstr>Mapping!SD_4270x1_4371x1_4606x14_6_S_1</vt:lpstr>
      <vt:lpstr>Mapping!SD_4270x1_4371x1_4606x14_8_S_0</vt:lpstr>
      <vt:lpstr>Mapping!SD_4270x1_4371x1_4606x14_9_S_0</vt:lpstr>
      <vt:lpstr>Mapping!SD_4270x1_4371x1_4606x15_5_S_1</vt:lpstr>
      <vt:lpstr>Mapping!SD_4270x1_4371x1_4606x15_6_S_1</vt:lpstr>
      <vt:lpstr>Mapping!SD_4270x1_4371x1_4606x15_8_S_0</vt:lpstr>
      <vt:lpstr>Mapping!SD_4270x1_4371x1_4606x15_9_S_0</vt:lpstr>
      <vt:lpstr>Mapping!SD_4270x1_4371x1_4606x16_5_S_1</vt:lpstr>
      <vt:lpstr>Mapping!SD_4270x1_4371x1_4606x16_6_S_1</vt:lpstr>
      <vt:lpstr>Mapping!SD_4270x1_4371x1_4606x16_8_S_0</vt:lpstr>
      <vt:lpstr>Mapping!SD_4270x1_4371x1_4606x16_9_S_0</vt:lpstr>
      <vt:lpstr>Mapping!SD_4270x1_4371x1_4606x17_5_S_1</vt:lpstr>
      <vt:lpstr>Mapping!SD_4270x1_4371x1_4606x17_6_S_1</vt:lpstr>
      <vt:lpstr>Mapping!SD_4270x1_4371x1_4606x17_8_S_0</vt:lpstr>
      <vt:lpstr>Mapping!SD_4270x1_4371x1_4606x17_9_S_0</vt:lpstr>
      <vt:lpstr>Mapping!SD_4270x1_4371x1_4606x18_5_S_1</vt:lpstr>
      <vt:lpstr>Mapping!SD_4270x1_4371x1_4606x18_6_S_1</vt:lpstr>
      <vt:lpstr>Mapping!SD_4270x1_4371x1_4606x18_8_S_0</vt:lpstr>
      <vt:lpstr>Mapping!SD_4270x1_4371x1_4606x18_9_S_0</vt:lpstr>
      <vt:lpstr>Mapping!SD_4270x1_4371x1_4606x19_5_S_1</vt:lpstr>
      <vt:lpstr>Mapping!SD_4270x1_4371x1_4606x19_6_S_1</vt:lpstr>
      <vt:lpstr>Mapping!SD_4270x1_4371x1_4606x19_8_S_0</vt:lpstr>
      <vt:lpstr>Mapping!SD_4270x1_4371x1_4606x19_9_S_0</vt:lpstr>
      <vt:lpstr>Mapping!SD_4270x1_4371x1_4606x2_5_S_1</vt:lpstr>
      <vt:lpstr>Mapping!SD_4270x1_4371x1_4606x2_6_S_1</vt:lpstr>
      <vt:lpstr>Mapping!SD_4270x1_4371x1_4606x2_8_S_0</vt:lpstr>
      <vt:lpstr>Mapping!SD_4270x1_4371x1_4606x2_9_S_0</vt:lpstr>
      <vt:lpstr>Mapping!SD_4270x1_4371x1_4606x20_5_S_1</vt:lpstr>
      <vt:lpstr>Mapping!SD_4270x1_4371x1_4606x20_6_S_1</vt:lpstr>
      <vt:lpstr>Mapping!SD_4270x1_4371x1_4606x20_8_S_0</vt:lpstr>
      <vt:lpstr>Mapping!SD_4270x1_4371x1_4606x20_9_S_0</vt:lpstr>
      <vt:lpstr>Mapping!SD_4270x1_4371x1_4606x21_5_S_1</vt:lpstr>
      <vt:lpstr>Mapping!SD_4270x1_4371x1_4606x21_6_S_1</vt:lpstr>
      <vt:lpstr>Mapping!SD_4270x1_4371x1_4606x21_8_S_0</vt:lpstr>
      <vt:lpstr>Mapping!SD_4270x1_4371x1_4606x21_9_S_0</vt:lpstr>
      <vt:lpstr>Mapping!SD_4270x1_4371x1_4606x22_5_S_1</vt:lpstr>
      <vt:lpstr>Mapping!SD_4270x1_4371x1_4606x22_6_S_1</vt:lpstr>
      <vt:lpstr>Mapping!SD_4270x1_4371x1_4606x22_8_S_0</vt:lpstr>
      <vt:lpstr>Mapping!SD_4270x1_4371x1_4606x22_9_S_0</vt:lpstr>
      <vt:lpstr>Mapping!SD_4270x1_4371x1_4606x23_5_S_1</vt:lpstr>
      <vt:lpstr>Mapping!SD_4270x1_4371x1_4606x23_6_S_1</vt:lpstr>
      <vt:lpstr>Mapping!SD_4270x1_4371x1_4606x23_8_S_0</vt:lpstr>
      <vt:lpstr>Mapping!SD_4270x1_4371x1_4606x23_9_S_0</vt:lpstr>
      <vt:lpstr>Mapping!SD_4270x1_4371x1_4606x3_5_S_1</vt:lpstr>
      <vt:lpstr>Mapping!SD_4270x1_4371x1_4606x3_6_S_1</vt:lpstr>
      <vt:lpstr>Mapping!SD_4270x1_4371x1_4606x3_8_S_0</vt:lpstr>
      <vt:lpstr>Mapping!SD_4270x1_4371x1_4606x3_9_S_0</vt:lpstr>
      <vt:lpstr>Mapping!SD_4270x1_4371x1_4606x4_5_S_1</vt:lpstr>
      <vt:lpstr>Mapping!SD_4270x1_4371x1_4606x4_6_S_1</vt:lpstr>
      <vt:lpstr>Mapping!SD_4270x1_4371x1_4606x4_8_S_0</vt:lpstr>
      <vt:lpstr>Mapping!SD_4270x1_4371x1_4606x4_9_S_0</vt:lpstr>
      <vt:lpstr>Mapping!SD_4270x1_4371x1_4606x5_5_S_1</vt:lpstr>
      <vt:lpstr>Mapping!SD_4270x1_4371x1_4606x5_6_S_1</vt:lpstr>
      <vt:lpstr>Mapping!SD_4270x1_4371x1_4606x5_8_S_0</vt:lpstr>
      <vt:lpstr>Mapping!SD_4270x1_4371x1_4606x5_9_S_0</vt:lpstr>
      <vt:lpstr>Mapping!SD_4270x1_4371x1_4606x6_5_S_1</vt:lpstr>
      <vt:lpstr>Mapping!SD_4270x1_4371x1_4606x6_6_S_1</vt:lpstr>
      <vt:lpstr>Mapping!SD_4270x1_4371x1_4606x6_8_S_0</vt:lpstr>
      <vt:lpstr>Mapping!SD_4270x1_4371x1_4606x6_9_S_0</vt:lpstr>
      <vt:lpstr>Mapping!SD_4270x1_4371x1_4606x7_5_S_1</vt:lpstr>
      <vt:lpstr>Mapping!SD_4270x1_4371x1_4606x7_6_S_1</vt:lpstr>
      <vt:lpstr>Mapping!SD_4270x1_4371x1_4606x7_8_S_0</vt:lpstr>
      <vt:lpstr>Mapping!SD_4270x1_4371x1_4606x7_9_S_0</vt:lpstr>
      <vt:lpstr>Mapping!SD_4270x1_4371x1_4606x8_5_S_1</vt:lpstr>
      <vt:lpstr>Mapping!SD_4270x1_4371x1_4606x8_6_S_1</vt:lpstr>
      <vt:lpstr>Mapping!SD_4270x1_4371x1_4606x8_8_S_0</vt:lpstr>
      <vt:lpstr>Mapping!SD_4270x1_4371x1_4606x8_9_S_0</vt:lpstr>
      <vt:lpstr>Mapping!SD_4270x1_4371x1_4606x9_5_S_1</vt:lpstr>
      <vt:lpstr>Mapping!SD_4270x1_4371x1_4606x9_6_S_1</vt:lpstr>
      <vt:lpstr>Mapping!SD_4270x1_4371x1_4606x9_8_S_0</vt:lpstr>
      <vt:lpstr>Mapping!SD_4270x1_4371x1_4606x9_9_S_0</vt:lpstr>
      <vt:lpstr>Mapping!SD_4270x1_4371x1_526_S_1</vt:lpstr>
      <vt:lpstr>Mapping!SD_4270x1_4371x1_5315x1_198_S_0</vt:lpstr>
      <vt:lpstr>Mapping!SD_4270x1_4371x1_5315x1_199_S_0</vt:lpstr>
      <vt:lpstr>Mapping!SD_4270x1_4371x1_5315x1_200_S_0</vt:lpstr>
      <vt:lpstr>Mapping!SD_4270x1_4371x1_5315x1_201_S_0</vt:lpstr>
      <vt:lpstr>Mapping!SD_4270x1_4371x1_5315x1_202_S_0</vt:lpstr>
      <vt:lpstr>Mapping!SD_4270x1_4371x1_5315x1_203_S_0</vt:lpstr>
      <vt:lpstr>Mapping!SD_4270x1_4371x1_5315x1_204_S_0</vt:lpstr>
      <vt:lpstr>Mapping!SD_4270x1_4371x1_5315x1_205_S_0</vt:lpstr>
      <vt:lpstr>Mapping!SD_4270x1_4371x1_5315x1_206_S_0</vt:lpstr>
      <vt:lpstr>Mapping!SD_4270x1_4371x1_5315x1_207_S_0</vt:lpstr>
      <vt:lpstr>Mapping!SD_4270x1_4371x1_5315x1_208_S_0</vt:lpstr>
      <vt:lpstr>Mapping!SD_4270x1_4371x1_5315x1_209_S_0</vt:lpstr>
      <vt:lpstr>Mapping!SD_4270x1_8066x1_11_S_0</vt:lpstr>
      <vt:lpstr>Mapping!SD_4270x1_8066x1_13_S_1</vt:lpstr>
      <vt:lpstr>Mapping!SD_4270x1_8066x1_14_S_0</vt:lpstr>
      <vt:lpstr>Mapping!SD_4270x1_8066x1_15_S_0</vt:lpstr>
      <vt:lpstr>Mapping!SD_4270x1_8066x1_19_S_0</vt:lpstr>
      <vt:lpstr>Mapping!SD_4270x1_8066x1_25_S_1</vt:lpstr>
      <vt:lpstr>Mapping!SD_4270x1_8066x10_13_S_1</vt:lpstr>
      <vt:lpstr>Mapping!SD_4270x1_8066x10_14_S_0</vt:lpstr>
      <vt:lpstr>Mapping!SD_4270x1_8066x10_15_S_0</vt:lpstr>
      <vt:lpstr>Mapping!SD_4270x1_8066x10_19_S_0</vt:lpstr>
      <vt:lpstr>Mapping!SD_4270x1_8066x10_25_S_1</vt:lpstr>
      <vt:lpstr>Mapping!SD_4270x1_8066x11_13_S_1</vt:lpstr>
      <vt:lpstr>Mapping!SD_4270x1_8066x11_14_S_0</vt:lpstr>
      <vt:lpstr>Mapping!SD_4270x1_8066x11_15_S_0</vt:lpstr>
      <vt:lpstr>Mapping!SD_4270x1_8066x11_19_S_0</vt:lpstr>
      <vt:lpstr>Mapping!SD_4270x1_8066x11_25_S_1</vt:lpstr>
      <vt:lpstr>Mapping!SD_4270x1_8066x2_13_S_1</vt:lpstr>
      <vt:lpstr>Mapping!SD_4270x1_8066x2_14_S_0</vt:lpstr>
      <vt:lpstr>Mapping!SD_4270x1_8066x2_15_S_0</vt:lpstr>
      <vt:lpstr>Mapping!SD_4270x1_8066x2_19_S_0</vt:lpstr>
      <vt:lpstr>Mapping!SD_4270x1_8066x2_25_S_1</vt:lpstr>
      <vt:lpstr>Mapping!SD_4270x1_8066x3_13_S_1</vt:lpstr>
      <vt:lpstr>Mapping!SD_4270x1_8066x3_14_S_0</vt:lpstr>
      <vt:lpstr>Mapping!SD_4270x1_8066x3_15_S_0</vt:lpstr>
      <vt:lpstr>Mapping!SD_4270x1_8066x3_19_S_0</vt:lpstr>
      <vt:lpstr>Mapping!SD_4270x1_8066x3_25_S_1</vt:lpstr>
      <vt:lpstr>Mapping!SD_4270x1_8066x4_13_S_1</vt:lpstr>
      <vt:lpstr>Mapping!SD_4270x1_8066x4_14_S_0</vt:lpstr>
      <vt:lpstr>Mapping!SD_4270x1_8066x4_15_S_0</vt:lpstr>
      <vt:lpstr>Mapping!SD_4270x1_8066x4_19_S_0</vt:lpstr>
      <vt:lpstr>Mapping!SD_4270x1_8066x4_25_S_1</vt:lpstr>
      <vt:lpstr>Mapping!SD_4270x1_8066x5_13_S_1</vt:lpstr>
      <vt:lpstr>Mapping!SD_4270x1_8066x5_14_S_0</vt:lpstr>
      <vt:lpstr>Mapping!SD_4270x1_8066x5_15_S_0</vt:lpstr>
      <vt:lpstr>Mapping!SD_4270x1_8066x5_19_S_0</vt:lpstr>
      <vt:lpstr>Mapping!SD_4270x1_8066x5_25_S_1</vt:lpstr>
      <vt:lpstr>Mapping!SD_4270x1_8066x6_13_S_1</vt:lpstr>
      <vt:lpstr>Mapping!SD_4270x1_8066x6_14_S_0</vt:lpstr>
      <vt:lpstr>Mapping!SD_4270x1_8066x6_15_S_0</vt:lpstr>
      <vt:lpstr>Mapping!SD_4270x1_8066x6_19_S_0</vt:lpstr>
      <vt:lpstr>Mapping!SD_4270x1_8066x6_25_S_1</vt:lpstr>
      <vt:lpstr>Mapping!SD_4270x1_8066x7_13_S_1</vt:lpstr>
      <vt:lpstr>Mapping!SD_4270x1_8066x7_14_S_0</vt:lpstr>
      <vt:lpstr>Mapping!SD_4270x1_8066x7_15_S_0</vt:lpstr>
      <vt:lpstr>Mapping!SD_4270x1_8066x7_19_S_0</vt:lpstr>
      <vt:lpstr>Mapping!SD_4270x1_8066x7_25_S_1</vt:lpstr>
      <vt:lpstr>Mapping!SD_4270x1_8066x8_13_S_1</vt:lpstr>
      <vt:lpstr>Mapping!SD_4270x1_8066x8_14_S_0</vt:lpstr>
      <vt:lpstr>Mapping!SD_4270x1_8066x8_15_S_0</vt:lpstr>
      <vt:lpstr>Mapping!SD_4270x1_8066x8_19_S_0</vt:lpstr>
      <vt:lpstr>Mapping!SD_4270x1_8066x8_25_S_1</vt:lpstr>
      <vt:lpstr>Mapping!SD_4270x1_8066x9_13_S_1</vt:lpstr>
      <vt:lpstr>Mapping!SD_4270x1_8066x9_14_S_0</vt:lpstr>
      <vt:lpstr>Mapping!SD_4270x1_8066x9_15_S_0</vt:lpstr>
      <vt:lpstr>Mapping!SD_4270x1_8066x9_19_S_0</vt:lpstr>
      <vt:lpstr>Mapping!SD_4270x1_8066x9_25_S_1</vt:lpstr>
      <vt:lpstr>Mapping!SD_8055x1_11_S_0</vt:lpstr>
      <vt:lpstr>Mapping!SD_8055x1_13_S_1</vt:lpstr>
      <vt:lpstr>Mapping!SD_8055x1_14_S_0</vt:lpstr>
      <vt:lpstr>Mapping!SD_8055x1_15_S_0</vt:lpstr>
      <vt:lpstr>Mapping!SD_8055x1_19_S_0</vt:lpstr>
      <vt:lpstr>Mapping!SD_8055x1_24_S_1</vt:lpstr>
      <vt:lpstr>Mapping!SD_8055x10_13_S_1</vt:lpstr>
      <vt:lpstr>Mapping!SD_8055x10_14_S_0</vt:lpstr>
      <vt:lpstr>Mapping!SD_8055x10_15_S_0</vt:lpstr>
      <vt:lpstr>Mapping!SD_8055x10_19_S_0</vt:lpstr>
      <vt:lpstr>Mapping!SD_8055x10_24_S_1</vt:lpstr>
      <vt:lpstr>Mapping!SD_8055x11_13_S_1</vt:lpstr>
      <vt:lpstr>Mapping!SD_8055x11_14_S_0</vt:lpstr>
      <vt:lpstr>Mapping!SD_8055x11_15_S_0</vt:lpstr>
      <vt:lpstr>Mapping!SD_8055x11_19_S_0</vt:lpstr>
      <vt:lpstr>Mapping!SD_8055x11_24_S_1</vt:lpstr>
      <vt:lpstr>Mapping!SD_8055x2_13_S_1</vt:lpstr>
      <vt:lpstr>Mapping!SD_8055x2_14_S_0</vt:lpstr>
      <vt:lpstr>Mapping!SD_8055x2_15_S_0</vt:lpstr>
      <vt:lpstr>Mapping!SD_8055x2_19_S_0</vt:lpstr>
      <vt:lpstr>Mapping!SD_8055x2_24_S_1</vt:lpstr>
      <vt:lpstr>Mapping!SD_8055x3_13_S_1</vt:lpstr>
      <vt:lpstr>Mapping!SD_8055x3_14_S_0</vt:lpstr>
      <vt:lpstr>Mapping!SD_8055x3_15_S_0</vt:lpstr>
      <vt:lpstr>Mapping!SD_8055x3_19_S_0</vt:lpstr>
      <vt:lpstr>Mapping!SD_8055x3_24_S_1</vt:lpstr>
      <vt:lpstr>Mapping!SD_8055x4_13_S_1</vt:lpstr>
      <vt:lpstr>Mapping!SD_8055x4_14_S_0</vt:lpstr>
      <vt:lpstr>Mapping!SD_8055x4_15_S_0</vt:lpstr>
      <vt:lpstr>Mapping!SD_8055x4_19_S_0</vt:lpstr>
      <vt:lpstr>Mapping!SD_8055x4_24_S_1</vt:lpstr>
      <vt:lpstr>Mapping!SD_8055x5_13_S_1</vt:lpstr>
      <vt:lpstr>Mapping!SD_8055x5_14_S_0</vt:lpstr>
      <vt:lpstr>Mapping!SD_8055x5_15_S_0</vt:lpstr>
      <vt:lpstr>Mapping!SD_8055x5_19_S_0</vt:lpstr>
      <vt:lpstr>Mapping!SD_8055x5_24_S_1</vt:lpstr>
      <vt:lpstr>Mapping!SD_8055x6_13_S_1</vt:lpstr>
      <vt:lpstr>Mapping!SD_8055x6_14_S_0</vt:lpstr>
      <vt:lpstr>Mapping!SD_8055x6_15_S_0</vt:lpstr>
      <vt:lpstr>Mapping!SD_8055x6_19_S_0</vt:lpstr>
      <vt:lpstr>Mapping!SD_8055x6_24_S_1</vt:lpstr>
      <vt:lpstr>Mapping!SD_8055x7_13_S_1</vt:lpstr>
      <vt:lpstr>Mapping!SD_8055x7_14_S_0</vt:lpstr>
      <vt:lpstr>Mapping!SD_8055x7_15_S_0</vt:lpstr>
      <vt:lpstr>Mapping!SD_8055x7_19_S_0</vt:lpstr>
      <vt:lpstr>Mapping!SD_8055x7_24_S_1</vt:lpstr>
      <vt:lpstr>Mapping!SD_8055x8_13_S_1</vt:lpstr>
      <vt:lpstr>Mapping!SD_8055x8_14_S_0</vt:lpstr>
      <vt:lpstr>Mapping!SD_8055x8_15_S_0</vt:lpstr>
      <vt:lpstr>Mapping!SD_8055x8_19_S_0</vt:lpstr>
      <vt:lpstr>Mapping!SD_8055x8_24_S_1</vt:lpstr>
      <vt:lpstr>Mapping!SD_8055x9_13_S_1</vt:lpstr>
      <vt:lpstr>Mapping!SD_8055x9_14_S_0</vt:lpstr>
      <vt:lpstr>Mapping!SD_8055x9_15_S_0</vt:lpstr>
      <vt:lpstr>Mapping!SD_8055x9_19_S_0</vt:lpstr>
      <vt:lpstr>Mapping!SD_8055x9_24_S_1</vt:lpstr>
      <vt:lpstr>Mapping!SD_81_S_0</vt:lpstr>
      <vt:lpstr>Mapping!SD_81x1_100_S_0</vt:lpstr>
      <vt:lpstr>Mapping!SD_81x1_101_S_0</vt:lpstr>
      <vt:lpstr>Mapping!SD_81x1_102_S_0</vt:lpstr>
      <vt:lpstr>Mapping!SD_81x1_103_S_0</vt:lpstr>
      <vt:lpstr>Mapping!SD_81x1_104_S_0</vt:lpstr>
      <vt:lpstr>Mapping!SD_81x1_105_S_0</vt:lpstr>
      <vt:lpstr>Mapping!SD_81x1_106_S_0</vt:lpstr>
      <vt:lpstr>Mapping!SD_81x1_107_S_0</vt:lpstr>
      <vt:lpstr>Mapping!SD_81x1_108_S_0</vt:lpstr>
      <vt:lpstr>Mapping!SD_81x1_109_S_0</vt:lpstr>
      <vt:lpstr>Mapping!SD_81x1_110_S_0</vt:lpstr>
      <vt:lpstr>Mapping!SD_81x1_111_S_0</vt:lpstr>
      <vt:lpstr>Mapping!SD_81x1_112_S_0</vt:lpstr>
      <vt:lpstr>Mapping!SD_81x1_113_S_0</vt:lpstr>
      <vt:lpstr>Mapping!SD_81x1_114_S_0</vt:lpstr>
      <vt:lpstr>Mapping!SD_81x1_115_S_0</vt:lpstr>
      <vt:lpstr>Mapping!SD_81x1_116_S_0</vt:lpstr>
      <vt:lpstr>Mapping!SD_81x1_117_S_0</vt:lpstr>
      <vt:lpstr>Mapping!SD_81x1_12_S_0</vt:lpstr>
      <vt:lpstr>Mapping!SD_81x1_123_S_0</vt:lpstr>
      <vt:lpstr>Mapping!SD_81x1_124_S_0</vt:lpstr>
      <vt:lpstr>Mapping!SD_81x1_126_S_0</vt:lpstr>
      <vt:lpstr>Mapping!SD_81x1_130_S_0</vt:lpstr>
      <vt:lpstr>Mapping!SD_81x1_131_S_0</vt:lpstr>
      <vt:lpstr>Mapping!SD_81x1_132_S_0</vt:lpstr>
      <vt:lpstr>Mapping!SD_81x1_133_S_0</vt:lpstr>
      <vt:lpstr>Mapping!SD_81x1_134_S_0</vt:lpstr>
      <vt:lpstr>Mapping!SD_81x1_135_S_0</vt:lpstr>
      <vt:lpstr>Mapping!SD_81x1_208_S_0</vt:lpstr>
      <vt:lpstr>Mapping!SD_81x1_26_S_0</vt:lpstr>
      <vt:lpstr>Mapping!SD_81x1_47_S_0</vt:lpstr>
      <vt:lpstr>Mapping!SD_81x1_5325x1_100_S_0</vt:lpstr>
      <vt:lpstr>Mapping!SD_81x1_5325x1_101_S_0</vt:lpstr>
      <vt:lpstr>Mapping!SD_81x1_5325x1_102_S_0</vt:lpstr>
      <vt:lpstr>Mapping!SD_81x1_5325x1_103_S_0</vt:lpstr>
      <vt:lpstr>Mapping!SD_81x1_5325x1_104_S_0</vt:lpstr>
      <vt:lpstr>Mapping!SD_81x1_5325x1_105_S_0</vt:lpstr>
      <vt:lpstr>Mapping!SD_81x1_5325x1_106_S_0</vt:lpstr>
      <vt:lpstr>Mapping!SD_81x1_5325x1_107_S_0</vt:lpstr>
      <vt:lpstr>Mapping!SD_81x1_5325x1_108_S_0</vt:lpstr>
      <vt:lpstr>Mapping!SD_81x1_5325x1_109_S_0</vt:lpstr>
      <vt:lpstr>Mapping!SD_81x1_5325x1_110_S_0</vt:lpstr>
      <vt:lpstr>Mapping!SD_81x1_5325x1_111_S_0</vt:lpstr>
      <vt:lpstr>Mapping!SD_81x1_5325x1_112_S_0</vt:lpstr>
      <vt:lpstr>Mapping!SD_81x1_5325x1_113_S_0</vt:lpstr>
      <vt:lpstr>Mapping!SD_81x1_5325x1_114_S_0</vt:lpstr>
      <vt:lpstr>Mapping!SD_81x1_5325x1_115_S_0</vt:lpstr>
      <vt:lpstr>Mapping!SD_81x1_5325x1_116_S_0</vt:lpstr>
      <vt:lpstr>Mapping!SD_81x1_5325x1_117_S_0</vt:lpstr>
      <vt:lpstr>Mapping!SD_81x1_5325x1_118_S_0</vt:lpstr>
      <vt:lpstr>Mapping!SD_81x1_5325x1_119_S_0</vt:lpstr>
      <vt:lpstr>Mapping!SD_81x1_5325x1_120_S_0</vt:lpstr>
      <vt:lpstr>Mapping!SD_81x1_5325x1_121_S_0</vt:lpstr>
      <vt:lpstr>Mapping!SD_81x1_5325x1_122_S_0</vt:lpstr>
      <vt:lpstr>Mapping!SD_81x1_5325x1_123_S_0</vt:lpstr>
      <vt:lpstr>Mapping!SD_81x1_5325x1_124_S_0</vt:lpstr>
      <vt:lpstr>Mapping!SD_81x1_5325x1_125_S_0</vt:lpstr>
      <vt:lpstr>Mapping!SD_81x1_5325x1_126_S_0</vt:lpstr>
      <vt:lpstr>Mapping!SD_81x1_5325x1_127_S_0</vt:lpstr>
      <vt:lpstr>Mapping!SD_81x1_5325x1_128_S_0</vt:lpstr>
      <vt:lpstr>Mapping!SD_81x1_5325x1_129_S_0</vt:lpstr>
      <vt:lpstr>Mapping!SD_81x1_5325x1_130_S_0</vt:lpstr>
      <vt:lpstr>Mapping!SD_81x1_5325x1_131_S_0</vt:lpstr>
      <vt:lpstr>Mapping!SD_81x1_5325x1_132_S_0</vt:lpstr>
      <vt:lpstr>Mapping!SD_81x1_5325x1_133_S_0</vt:lpstr>
      <vt:lpstr>Mapping!SD_81x1_5325x1_134_S_0</vt:lpstr>
      <vt:lpstr>Mapping!SD_81x1_5325x1_135_S_0</vt:lpstr>
      <vt:lpstr>Mapping!SD_81x1_5325x1_136_S_0</vt:lpstr>
      <vt:lpstr>Mapping!SD_81x1_5325x1_137_S_0</vt:lpstr>
      <vt:lpstr>Mapping!SD_81x1_5325x1_138_S_0</vt:lpstr>
      <vt:lpstr>Mapping!SD_81x1_5325x1_139_S_0</vt:lpstr>
      <vt:lpstr>Mapping!SD_81x1_5325x1_140_S_0</vt:lpstr>
      <vt:lpstr>Mapping!SD_81x1_5325x1_141_S_0</vt:lpstr>
      <vt:lpstr>Mapping!SD_81x1_5325x1_142_S_0</vt:lpstr>
      <vt:lpstr>Mapping!SD_81x1_5325x1_143_S_0</vt:lpstr>
      <vt:lpstr>Mapping!SD_81x1_5325x1_144_S_0</vt:lpstr>
      <vt:lpstr>Mapping!SD_81x1_5325x1_145_S_0</vt:lpstr>
      <vt:lpstr>Mapping!SD_81x1_5325x1_146_S_0</vt:lpstr>
      <vt:lpstr>Mapping!SD_81x1_5325x1_147_S_0</vt:lpstr>
      <vt:lpstr>Mapping!SD_81x1_5325x1_148_S_0</vt:lpstr>
      <vt:lpstr>Mapping!SD_81x1_5325x1_149_S_0</vt:lpstr>
      <vt:lpstr>Mapping!SD_81x1_5325x1_150_S_0</vt:lpstr>
      <vt:lpstr>Mapping!SD_81x1_5325x1_151_S_0</vt:lpstr>
      <vt:lpstr>Mapping!SD_81x1_5325x1_152_S_0</vt:lpstr>
      <vt:lpstr>Mapping!SD_81x1_5325x1_153_S_0</vt:lpstr>
      <vt:lpstr>Mapping!SD_81x1_5325x1_154_S_0</vt:lpstr>
      <vt:lpstr>Mapping!SD_81x1_5325x1_155_S_0</vt:lpstr>
      <vt:lpstr>Mapping!SD_81x1_5325x1_156_S_0</vt:lpstr>
      <vt:lpstr>Mapping!SD_81x1_5325x1_157_S_0</vt:lpstr>
      <vt:lpstr>Mapping!SD_81x1_5325x1_158_S_0</vt:lpstr>
      <vt:lpstr>Mapping!SD_81x1_5325x1_159_S_0</vt:lpstr>
      <vt:lpstr>Mapping!SD_81x1_5325x1_160_S_0</vt:lpstr>
      <vt:lpstr>Mapping!SD_81x1_5325x1_161_S_0</vt:lpstr>
      <vt:lpstr>Mapping!SD_81x1_5325x1_162_S_0</vt:lpstr>
      <vt:lpstr>Mapping!SD_81x1_5325x1_163_S_0</vt:lpstr>
      <vt:lpstr>Mapping!SD_81x1_5325x1_164_S_0</vt:lpstr>
      <vt:lpstr>Mapping!SD_81x1_5325x1_165_S_0</vt:lpstr>
      <vt:lpstr>Mapping!SD_81x1_5325x1_166_S_0</vt:lpstr>
      <vt:lpstr>Mapping!SD_81x1_5325x1_167_S_0</vt:lpstr>
      <vt:lpstr>Mapping!SD_81x1_5325x1_168_S_0</vt:lpstr>
      <vt:lpstr>Mapping!SD_81x1_5325x1_169_S_0</vt:lpstr>
      <vt:lpstr>Mapping!SD_81x1_5325x1_170_S_0</vt:lpstr>
      <vt:lpstr>Mapping!SD_81x1_5325x1_171_S_0</vt:lpstr>
      <vt:lpstr>Mapping!SD_81x1_5325x1_172_S_0</vt:lpstr>
      <vt:lpstr>Mapping!SD_81x1_5325x1_173_S_0</vt:lpstr>
      <vt:lpstr>Mapping!SD_81x1_5325x1_174_S_0</vt:lpstr>
      <vt:lpstr>Mapping!SD_81x1_5325x1_175_S_0</vt:lpstr>
      <vt:lpstr>Mapping!SD_81x1_5325x1_176_S_0</vt:lpstr>
      <vt:lpstr>Mapping!SD_81x1_5325x1_177_S_0</vt:lpstr>
      <vt:lpstr>Mapping!SD_81x1_5325x1_178_S_0</vt:lpstr>
      <vt:lpstr>Mapping!SD_81x1_5325x1_179_S_0</vt:lpstr>
      <vt:lpstr>Mapping!SD_81x1_5325x1_180_S_0</vt:lpstr>
      <vt:lpstr>Mapping!SD_81x1_5325x1_181_S_0</vt:lpstr>
      <vt:lpstr>Mapping!SD_81x1_5325x1_182_S_0</vt:lpstr>
      <vt:lpstr>Mapping!SD_81x1_5325x1_183_S_0</vt:lpstr>
      <vt:lpstr>Mapping!SD_81x1_5325x1_184_S_0</vt:lpstr>
      <vt:lpstr>Mapping!SD_81x1_5325x1_185_S_0</vt:lpstr>
      <vt:lpstr>Mapping!SD_81x1_5325x1_186_S_0</vt:lpstr>
      <vt:lpstr>Mapping!SD_81x1_5325x1_187_S_0</vt:lpstr>
      <vt:lpstr>Mapping!SD_81x1_5325x1_188_S_0</vt:lpstr>
      <vt:lpstr>Mapping!SD_81x1_5325x1_189_S_0</vt:lpstr>
      <vt:lpstr>Mapping!SD_81x1_5325x1_190_S_0</vt:lpstr>
      <vt:lpstr>Mapping!SD_81x1_5325x1_191_S_0</vt:lpstr>
      <vt:lpstr>Mapping!SD_81x1_5325x1_192_S_0</vt:lpstr>
      <vt:lpstr>Mapping!SD_81x1_5325x1_193_S_0</vt:lpstr>
      <vt:lpstr>Mapping!SD_81x1_5325x1_194_S_0</vt:lpstr>
      <vt:lpstr>Mapping!SD_81x1_5325x1_195_S_0</vt:lpstr>
      <vt:lpstr>Mapping!SD_81x1_5325x1_196_S_0</vt:lpstr>
      <vt:lpstr>Mapping!SD_81x1_5325x1_197_S_0</vt:lpstr>
      <vt:lpstr>Mapping!SD_81x1_5325x1_198_S_0</vt:lpstr>
      <vt:lpstr>Mapping!SD_81x1_5325x1_199_S_0</vt:lpstr>
      <vt:lpstr>Mapping!SD_81x1_5325x1_200_S_0</vt:lpstr>
      <vt:lpstr>Mapping!SD_81x1_5325x1_201_S_0</vt:lpstr>
      <vt:lpstr>Mapping!SD_81x1_55_S_0</vt:lpstr>
      <vt:lpstr>Mapping!SD_81x1_60_S_0</vt:lpstr>
      <vt:lpstr>Mapping!SD_81x1_64_S_0</vt:lpstr>
      <vt:lpstr>Mapping!SD_81x1_65_S_0</vt:lpstr>
      <vt:lpstr>Mapping!SD_81x1_66_S_0</vt:lpstr>
      <vt:lpstr>Mapping!SD_81x1_70_S_0</vt:lpstr>
      <vt:lpstr>Mapping!SD_81x1_72_S_0</vt:lpstr>
      <vt:lpstr>Mapping!SD_81x1_74_S_0</vt:lpstr>
      <vt:lpstr>Mapping!SD_81x1_76_S_0</vt:lpstr>
      <vt:lpstr>Mapping!SD_81x1_78_S_0</vt:lpstr>
      <vt:lpstr>Mapping!SD_81x1_80_S_0</vt:lpstr>
      <vt:lpstr>Mapping!SD_81x1_84_S_0</vt:lpstr>
      <vt:lpstr>Mapping!SD_81x1_87_S_0</vt:lpstr>
      <vt:lpstr>Mapping!SD_81x1_89_S_0</vt:lpstr>
      <vt:lpstr>Mapping!SD_81x1_90_S_0</vt:lpstr>
      <vt:lpstr>Mapping!SD_81x1_93_S_0</vt:lpstr>
      <vt:lpstr>Mapping!SD_81x1_94_S_0</vt:lpstr>
      <vt:lpstr>Mapping!SD_81x1_99_S_0</vt:lpstr>
      <vt:lpstr>Mapping!SD_82_S_0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1995 application packet</dc:title>
  <dc:subject>lihtc</dc:subject>
  <dc:creator>L Ware</dc:creator>
  <cp:keywords>application</cp:keywords>
  <cp:lastModifiedBy>Tracey Anderson</cp:lastModifiedBy>
  <cp:lastPrinted>2024-09-24T14:37:39Z</cp:lastPrinted>
  <dcterms:created xsi:type="dcterms:W3CDTF">1998-02-12T11:27:27Z</dcterms:created>
  <dcterms:modified xsi:type="dcterms:W3CDTF">2025-06-18T16:10:16Z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0x010100CB6F586325F1554BB0BDA30AD979ABB4</vt:lpwstr>
  </property>
  <property fmtid="{D5CDD505-2E9C-101B-9397-08002B2CF9AE}" pid="3" name="SchemaType">
    <vt:lpwstr>Development</vt:lpwstr>
  </property>
  <property fmtid="{D5CDD505-2E9C-101B-9397-08002B2CF9AE}" pid="4" name="SmartDoxTemplateName">
    <vt:lpwstr/>
  </property>
  <property fmtid="{D5CDD505-2E9C-101B-9397-08002B2CF9AE}" pid="5" name="AfterGetVBAMethod">
    <vt:lpwstr/>
  </property>
  <property fmtid="{D5CDD505-2E9C-101B-9397-08002B2CF9AE}" pid="6" name="BeforeGetVBAMethod">
    <vt:lpwstr/>
  </property>
  <property fmtid="{D5CDD505-2E9C-101B-9397-08002B2CF9AE}" pid="7" name="AfterSendVBAMethod">
    <vt:lpwstr/>
  </property>
  <property fmtid="{D5CDD505-2E9C-101B-9397-08002B2CF9AE}" pid="8" name="SmartDox GUID">
    <vt:lpwstr>9ca348a0-6214-4d4d-8bbf-b01dbe8dd116</vt:lpwstr>
  </property>
</Properties>
</file>